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 tabRatio="599" firstSheet="1" activeTab="1"/>
  </bookViews>
  <sheets>
    <sheet name="收支预计表 (抵扣职业年金)" sheetId="215" state="hidden" r:id="rId1"/>
    <sheet name="收支预计表" sheetId="204" r:id="rId2"/>
    <sheet name="2021公共预算收入" sheetId="205" r:id="rId3"/>
    <sheet name="项目表 1" sheetId="218" r:id="rId4"/>
    <sheet name="项目表 2 " sheetId="219" r:id="rId5"/>
    <sheet name="一般债支出表" sheetId="220" r:id="rId6"/>
    <sheet name="专项债支出表" sheetId="221" r:id="rId7"/>
    <sheet name="2020年征收经费" sheetId="203" state="hidden" r:id="rId8"/>
    <sheet name="公务员津补贴" sheetId="210" state="hidden" r:id="rId9"/>
    <sheet name="2020年国债资金" sheetId="202" state="hidden" r:id="rId10"/>
    <sheet name="各项收入 (2021.预算)" sheetId="213" state="hidden" r:id="rId11"/>
    <sheet name="各项收入 (2020.7.15)" sheetId="212" state="hidden" r:id="rId12"/>
    <sheet name="人员经费明细表" sheetId="211" state="hidden" r:id="rId13"/>
    <sheet name="人员经费基表 (2021）)   (12.6)" sheetId="217" state="hidden" r:id="rId14"/>
    <sheet name="人员经费基表 (2021）)  " sheetId="209" state="hidden" r:id="rId15"/>
  </sheets>
  <definedNames>
    <definedName name="_xlnm.Print_Area" localSheetId="11">'各项收入 (2020.7.15)'!$A$1:$F$50</definedName>
    <definedName name="_xlnm.Print_Area" localSheetId="10">'各项收入 (2021.预算)'!$A$1:$G$49</definedName>
    <definedName name="_xlnm.Print_Area" localSheetId="14">'人员经费基表 (2021）)  '!$A$1:$W$141</definedName>
    <definedName name="_xlnm.Print_Area" localSheetId="13">'人员经费基表 (2021）)   (12.6)'!$A$1:$W$143</definedName>
    <definedName name="_xlnm.Print_Area" localSheetId="12">人员经费明细表!$A$1:$G$32</definedName>
    <definedName name="_xlnm.Print_Titles" localSheetId="1">收支预计表!$4:$4</definedName>
    <definedName name="_xlnm.Print_Titles" localSheetId="3">'项目表 1'!$5:$5</definedName>
    <definedName name="_xlnm.Print_Titles" localSheetId="4">'项目表 2 '!$5:$5</definedName>
  </definedNames>
  <calcPr calcId="125725"/>
</workbook>
</file>

<file path=xl/calcChain.xml><?xml version="1.0" encoding="utf-8"?>
<calcChain xmlns="http://schemas.openxmlformats.org/spreadsheetml/2006/main">
  <c r="E141" i="209"/>
  <c r="E140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V137"/>
  <c r="U137"/>
  <c r="T137"/>
  <c r="S137"/>
  <c r="R137"/>
  <c r="Q137"/>
  <c r="O137"/>
  <c r="N137"/>
  <c r="E137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V135"/>
  <c r="U135"/>
  <c r="T135"/>
  <c r="S135"/>
  <c r="R135"/>
  <c r="Q135"/>
  <c r="O135"/>
  <c r="N135"/>
  <c r="M135"/>
  <c r="L135"/>
  <c r="G135"/>
  <c r="F135"/>
  <c r="E135"/>
  <c r="V134"/>
  <c r="U134"/>
  <c r="T134"/>
  <c r="S134"/>
  <c r="R134"/>
  <c r="Q134"/>
  <c r="O134"/>
  <c r="N134"/>
  <c r="G134"/>
  <c r="F134"/>
  <c r="E134"/>
  <c r="V133"/>
  <c r="U133"/>
  <c r="T133"/>
  <c r="S133"/>
  <c r="R133"/>
  <c r="Q133"/>
  <c r="O133"/>
  <c r="N133"/>
  <c r="M133"/>
  <c r="G133"/>
  <c r="F133"/>
  <c r="E133"/>
  <c r="V132"/>
  <c r="U132"/>
  <c r="T132"/>
  <c r="S132"/>
  <c r="R132"/>
  <c r="Q132"/>
  <c r="O132"/>
  <c r="N132"/>
  <c r="G132"/>
  <c r="F132"/>
  <c r="E132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Y130"/>
  <c r="X130"/>
  <c r="W130"/>
  <c r="V130"/>
  <c r="U130"/>
  <c r="T130"/>
  <c r="S130"/>
  <c r="R130"/>
  <c r="Q130"/>
  <c r="O130"/>
  <c r="N130"/>
  <c r="M130"/>
  <c r="L130"/>
  <c r="K130"/>
  <c r="G130"/>
  <c r="F130"/>
  <c r="E130"/>
  <c r="W129"/>
  <c r="V129"/>
  <c r="U129"/>
  <c r="T129"/>
  <c r="S129"/>
  <c r="R129"/>
  <c r="Q129"/>
  <c r="O129"/>
  <c r="N129"/>
  <c r="M129"/>
  <c r="L129"/>
  <c r="K129"/>
  <c r="G129"/>
  <c r="F129"/>
  <c r="E129"/>
  <c r="W128"/>
  <c r="V128"/>
  <c r="U128"/>
  <c r="T128"/>
  <c r="S128"/>
  <c r="R128"/>
  <c r="Q128"/>
  <c r="O128"/>
  <c r="N128"/>
  <c r="M128"/>
  <c r="L128"/>
  <c r="K128"/>
  <c r="G128"/>
  <c r="F128"/>
  <c r="E128"/>
  <c r="W127"/>
  <c r="V127"/>
  <c r="U127"/>
  <c r="T127"/>
  <c r="S127"/>
  <c r="R127"/>
  <c r="Q127"/>
  <c r="O127"/>
  <c r="N127"/>
  <c r="M127"/>
  <c r="L127"/>
  <c r="K127"/>
  <c r="G127"/>
  <c r="F127"/>
  <c r="E127"/>
  <c r="W126"/>
  <c r="V126"/>
  <c r="U126"/>
  <c r="T126"/>
  <c r="S126"/>
  <c r="R126"/>
  <c r="Q126"/>
  <c r="O126"/>
  <c r="N126"/>
  <c r="M126"/>
  <c r="L126"/>
  <c r="K126"/>
  <c r="G126"/>
  <c r="F126"/>
  <c r="E126"/>
  <c r="W125"/>
  <c r="V125"/>
  <c r="U125"/>
  <c r="T125"/>
  <c r="S125"/>
  <c r="R125"/>
  <c r="Q125"/>
  <c r="O125"/>
  <c r="N125"/>
  <c r="M125"/>
  <c r="L125"/>
  <c r="K125"/>
  <c r="G125"/>
  <c r="F125"/>
  <c r="E125"/>
  <c r="W124"/>
  <c r="V124"/>
  <c r="U124"/>
  <c r="T124"/>
  <c r="S124"/>
  <c r="R124"/>
  <c r="Q124"/>
  <c r="O124"/>
  <c r="N124"/>
  <c r="M124"/>
  <c r="L124"/>
  <c r="K124"/>
  <c r="G124"/>
  <c r="F124"/>
  <c r="E124"/>
  <c r="W123"/>
  <c r="V123"/>
  <c r="U123"/>
  <c r="T123"/>
  <c r="S123"/>
  <c r="R123"/>
  <c r="Q123"/>
  <c r="O123"/>
  <c r="N123"/>
  <c r="M123"/>
  <c r="L123"/>
  <c r="K123"/>
  <c r="G123"/>
  <c r="F123"/>
  <c r="E123"/>
  <c r="W122"/>
  <c r="V122"/>
  <c r="U122"/>
  <c r="T122"/>
  <c r="S122"/>
  <c r="R122"/>
  <c r="Q122"/>
  <c r="O122"/>
  <c r="N122"/>
  <c r="M122"/>
  <c r="L122"/>
  <c r="K122"/>
  <c r="G122"/>
  <c r="F122"/>
  <c r="E122"/>
  <c r="W121"/>
  <c r="V121"/>
  <c r="U121"/>
  <c r="T121"/>
  <c r="S121"/>
  <c r="R121"/>
  <c r="Q121"/>
  <c r="O121"/>
  <c r="N121"/>
  <c r="M121"/>
  <c r="L121"/>
  <c r="K121"/>
  <c r="G121"/>
  <c r="F121"/>
  <c r="E121"/>
  <c r="W120"/>
  <c r="V120"/>
  <c r="U120"/>
  <c r="T120"/>
  <c r="S120"/>
  <c r="R120"/>
  <c r="Q120"/>
  <c r="O120"/>
  <c r="N120"/>
  <c r="M120"/>
  <c r="K120"/>
  <c r="G120"/>
  <c r="F120"/>
  <c r="E120"/>
  <c r="W119"/>
  <c r="V119"/>
  <c r="U119"/>
  <c r="T119"/>
  <c r="S119"/>
  <c r="R119"/>
  <c r="Q119"/>
  <c r="O119"/>
  <c r="N119"/>
  <c r="M119"/>
  <c r="K119"/>
  <c r="G119"/>
  <c r="F119"/>
  <c r="E119"/>
  <c r="W118"/>
  <c r="V118"/>
  <c r="U118"/>
  <c r="T118"/>
  <c r="S118"/>
  <c r="R118"/>
  <c r="Q118"/>
  <c r="O118"/>
  <c r="N118"/>
  <c r="M118"/>
  <c r="L118"/>
  <c r="K118"/>
  <c r="G118"/>
  <c r="F118"/>
  <c r="E118"/>
  <c r="W117"/>
  <c r="V117"/>
  <c r="U117"/>
  <c r="T117"/>
  <c r="S117"/>
  <c r="R117"/>
  <c r="Q117"/>
  <c r="O117"/>
  <c r="N117"/>
  <c r="M117"/>
  <c r="L117"/>
  <c r="K117"/>
  <c r="G117"/>
  <c r="F117"/>
  <c r="E117"/>
  <c r="W116"/>
  <c r="V116"/>
  <c r="U116"/>
  <c r="T116"/>
  <c r="S116"/>
  <c r="R116"/>
  <c r="Q116"/>
  <c r="O116"/>
  <c r="N116"/>
  <c r="M116"/>
  <c r="L116"/>
  <c r="K116"/>
  <c r="G116"/>
  <c r="F116"/>
  <c r="E116"/>
  <c r="W115"/>
  <c r="V115"/>
  <c r="U115"/>
  <c r="T115"/>
  <c r="S115"/>
  <c r="R115"/>
  <c r="Q115"/>
  <c r="O115"/>
  <c r="N115"/>
  <c r="M115"/>
  <c r="L115"/>
  <c r="K115"/>
  <c r="G115"/>
  <c r="F115"/>
  <c r="E115"/>
  <c r="W114"/>
  <c r="V114"/>
  <c r="U114"/>
  <c r="T114"/>
  <c r="S114"/>
  <c r="R114"/>
  <c r="Q114"/>
  <c r="O114"/>
  <c r="N114"/>
  <c r="M114"/>
  <c r="K114"/>
  <c r="G114"/>
  <c r="F114"/>
  <c r="E114"/>
  <c r="W113"/>
  <c r="V113"/>
  <c r="U113"/>
  <c r="T113"/>
  <c r="S113"/>
  <c r="R113"/>
  <c r="Q113"/>
  <c r="O113"/>
  <c r="N113"/>
  <c r="M113"/>
  <c r="L113"/>
  <c r="K113"/>
  <c r="G113"/>
  <c r="F113"/>
  <c r="E113"/>
  <c r="W112"/>
  <c r="V112"/>
  <c r="U112"/>
  <c r="T112"/>
  <c r="S112"/>
  <c r="R112"/>
  <c r="Q112"/>
  <c r="O112"/>
  <c r="N112"/>
  <c r="M112"/>
  <c r="L112"/>
  <c r="K112"/>
  <c r="G112"/>
  <c r="F112"/>
  <c r="E112"/>
  <c r="W111"/>
  <c r="V111"/>
  <c r="U111"/>
  <c r="T111"/>
  <c r="S111"/>
  <c r="R111"/>
  <c r="Q111"/>
  <c r="O111"/>
  <c r="N111"/>
  <c r="M111"/>
  <c r="L111"/>
  <c r="K111"/>
  <c r="G111"/>
  <c r="F111"/>
  <c r="E111"/>
  <c r="W110"/>
  <c r="V110"/>
  <c r="U110"/>
  <c r="T110"/>
  <c r="S110"/>
  <c r="R110"/>
  <c r="Q110"/>
  <c r="O110"/>
  <c r="N110"/>
  <c r="M110"/>
  <c r="K110"/>
  <c r="G110"/>
  <c r="F110"/>
  <c r="E110"/>
  <c r="W109"/>
  <c r="V109"/>
  <c r="U109"/>
  <c r="T109"/>
  <c r="S109"/>
  <c r="R109"/>
  <c r="Q109"/>
  <c r="O109"/>
  <c r="N109"/>
  <c r="M109"/>
  <c r="L109"/>
  <c r="K109"/>
  <c r="G109"/>
  <c r="F109"/>
  <c r="E109"/>
  <c r="W108"/>
  <c r="V108"/>
  <c r="U108"/>
  <c r="T108"/>
  <c r="S108"/>
  <c r="R108"/>
  <c r="Q108"/>
  <c r="O108"/>
  <c r="N108"/>
  <c r="M108"/>
  <c r="L108"/>
  <c r="K108"/>
  <c r="G108"/>
  <c r="F108"/>
  <c r="E108"/>
  <c r="W107"/>
  <c r="V107"/>
  <c r="U107"/>
  <c r="T107"/>
  <c r="S107"/>
  <c r="R107"/>
  <c r="Q107"/>
  <c r="O107"/>
  <c r="N107"/>
  <c r="M107"/>
  <c r="L107"/>
  <c r="K107"/>
  <c r="G107"/>
  <c r="F107"/>
  <c r="E107"/>
  <c r="W106"/>
  <c r="V106"/>
  <c r="U106"/>
  <c r="T106"/>
  <c r="S106"/>
  <c r="R106"/>
  <c r="Q106"/>
  <c r="O106"/>
  <c r="N106"/>
  <c r="M106"/>
  <c r="L106"/>
  <c r="K106"/>
  <c r="G106"/>
  <c r="F106"/>
  <c r="E106"/>
  <c r="W105"/>
  <c r="V105"/>
  <c r="U105"/>
  <c r="T105"/>
  <c r="S105"/>
  <c r="R105"/>
  <c r="Q105"/>
  <c r="O105"/>
  <c r="N105"/>
  <c r="M105"/>
  <c r="L105"/>
  <c r="K105"/>
  <c r="G105"/>
  <c r="F105"/>
  <c r="E105"/>
  <c r="W104"/>
  <c r="V104"/>
  <c r="U104"/>
  <c r="T104"/>
  <c r="S104"/>
  <c r="R104"/>
  <c r="Q104"/>
  <c r="O104"/>
  <c r="N104"/>
  <c r="M104"/>
  <c r="L104"/>
  <c r="K104"/>
  <c r="G104"/>
  <c r="F104"/>
  <c r="E104"/>
  <c r="W103"/>
  <c r="V103"/>
  <c r="U103"/>
  <c r="T103"/>
  <c r="S103"/>
  <c r="R103"/>
  <c r="Q103"/>
  <c r="O103"/>
  <c r="N103"/>
  <c r="M103"/>
  <c r="L103"/>
  <c r="K103"/>
  <c r="G103"/>
  <c r="F103"/>
  <c r="E103"/>
  <c r="W102"/>
  <c r="V102"/>
  <c r="U102"/>
  <c r="T102"/>
  <c r="S102"/>
  <c r="R102"/>
  <c r="Q102"/>
  <c r="O102"/>
  <c r="N102"/>
  <c r="M102"/>
  <c r="L102"/>
  <c r="K102"/>
  <c r="G102"/>
  <c r="F102"/>
  <c r="E102"/>
  <c r="W101"/>
  <c r="V101"/>
  <c r="U101"/>
  <c r="T101"/>
  <c r="S101"/>
  <c r="R101"/>
  <c r="Q101"/>
  <c r="O101"/>
  <c r="N101"/>
  <c r="M101"/>
  <c r="L101"/>
  <c r="K101"/>
  <c r="G101"/>
  <c r="F101"/>
  <c r="E101"/>
  <c r="W100"/>
  <c r="V100"/>
  <c r="U100"/>
  <c r="T100"/>
  <c r="S100"/>
  <c r="R100"/>
  <c r="Q100"/>
  <c r="O100"/>
  <c r="N100"/>
  <c r="M100"/>
  <c r="L100"/>
  <c r="K100"/>
  <c r="G100"/>
  <c r="F100"/>
  <c r="E100"/>
  <c r="W99"/>
  <c r="V99"/>
  <c r="U99"/>
  <c r="T99"/>
  <c r="S99"/>
  <c r="R99"/>
  <c r="Q99"/>
  <c r="O99"/>
  <c r="N99"/>
  <c r="M99"/>
  <c r="L99"/>
  <c r="K99"/>
  <c r="G99"/>
  <c r="F99"/>
  <c r="E99"/>
  <c r="W98"/>
  <c r="V98"/>
  <c r="U98"/>
  <c r="T98"/>
  <c r="S98"/>
  <c r="R98"/>
  <c r="Q98"/>
  <c r="O98"/>
  <c r="N98"/>
  <c r="M98"/>
  <c r="K98"/>
  <c r="G98"/>
  <c r="F98"/>
  <c r="E98"/>
  <c r="W97"/>
  <c r="V97"/>
  <c r="U97"/>
  <c r="T97"/>
  <c r="S97"/>
  <c r="R97"/>
  <c r="Q97"/>
  <c r="O97"/>
  <c r="N97"/>
  <c r="M97"/>
  <c r="L97"/>
  <c r="K97"/>
  <c r="G97"/>
  <c r="F97"/>
  <c r="E97"/>
  <c r="W96"/>
  <c r="V96"/>
  <c r="U96"/>
  <c r="T96"/>
  <c r="S96"/>
  <c r="R96"/>
  <c r="Q96"/>
  <c r="O96"/>
  <c r="N96"/>
  <c r="M96"/>
  <c r="L96"/>
  <c r="K96"/>
  <c r="G96"/>
  <c r="F96"/>
  <c r="E96"/>
  <c r="W95"/>
  <c r="V95"/>
  <c r="U95"/>
  <c r="T95"/>
  <c r="S95"/>
  <c r="R95"/>
  <c r="Q95"/>
  <c r="O95"/>
  <c r="N95"/>
  <c r="M95"/>
  <c r="L95"/>
  <c r="K95"/>
  <c r="G95"/>
  <c r="F95"/>
  <c r="E95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W93"/>
  <c r="V93"/>
  <c r="U93"/>
  <c r="T93"/>
  <c r="S93"/>
  <c r="R93"/>
  <c r="Q93"/>
  <c r="O93"/>
  <c r="N93"/>
  <c r="M93"/>
  <c r="L93"/>
  <c r="K93"/>
  <c r="G93"/>
  <c r="F93"/>
  <c r="E93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W91"/>
  <c r="V91"/>
  <c r="U91"/>
  <c r="T91"/>
  <c r="S91"/>
  <c r="R91"/>
  <c r="Q91"/>
  <c r="O91"/>
  <c r="N91"/>
  <c r="M91"/>
  <c r="K91"/>
  <c r="G91"/>
  <c r="E91"/>
  <c r="W90"/>
  <c r="V90"/>
  <c r="U90"/>
  <c r="T90"/>
  <c r="S90"/>
  <c r="R90"/>
  <c r="Q90"/>
  <c r="O90"/>
  <c r="N90"/>
  <c r="M90"/>
  <c r="K90"/>
  <c r="G90"/>
  <c r="E90"/>
  <c r="W89"/>
  <c r="V89"/>
  <c r="U89"/>
  <c r="T89"/>
  <c r="S89"/>
  <c r="R89"/>
  <c r="Q89"/>
  <c r="O89"/>
  <c r="N89"/>
  <c r="M89"/>
  <c r="K89"/>
  <c r="G89"/>
  <c r="E89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W87"/>
  <c r="V87"/>
  <c r="U87"/>
  <c r="T87"/>
  <c r="S87"/>
  <c r="R87"/>
  <c r="Q87"/>
  <c r="O87"/>
  <c r="N87"/>
  <c r="M87"/>
  <c r="K87"/>
  <c r="G87"/>
  <c r="E87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M85"/>
  <c r="L85"/>
  <c r="K85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W83"/>
  <c r="V83"/>
  <c r="U83"/>
  <c r="T83"/>
  <c r="R83"/>
  <c r="Q83"/>
  <c r="P83"/>
  <c r="O83"/>
  <c r="N83"/>
  <c r="M83"/>
  <c r="K83"/>
  <c r="G83"/>
  <c r="E83"/>
  <c r="W82"/>
  <c r="V82"/>
  <c r="U82"/>
  <c r="T82"/>
  <c r="R82"/>
  <c r="Q82"/>
  <c r="P82"/>
  <c r="O82"/>
  <c r="N82"/>
  <c r="M82"/>
  <c r="K82"/>
  <c r="G82"/>
  <c r="E82"/>
  <c r="W81"/>
  <c r="V81"/>
  <c r="U81"/>
  <c r="T81"/>
  <c r="R81"/>
  <c r="Q81"/>
  <c r="P81"/>
  <c r="O81"/>
  <c r="N81"/>
  <c r="M81"/>
  <c r="K81"/>
  <c r="G81"/>
  <c r="E81"/>
  <c r="W80"/>
  <c r="V80"/>
  <c r="U80"/>
  <c r="T80"/>
  <c r="R80"/>
  <c r="Q80"/>
  <c r="P80"/>
  <c r="O80"/>
  <c r="N80"/>
  <c r="M80"/>
  <c r="K80"/>
  <c r="G80"/>
  <c r="E80"/>
  <c r="W79"/>
  <c r="V79"/>
  <c r="U79"/>
  <c r="T79"/>
  <c r="R79"/>
  <c r="Q79"/>
  <c r="P79"/>
  <c r="O79"/>
  <c r="N79"/>
  <c r="M79"/>
  <c r="K79"/>
  <c r="G79"/>
  <c r="E79"/>
  <c r="W78"/>
  <c r="V78"/>
  <c r="U78"/>
  <c r="T78"/>
  <c r="R78"/>
  <c r="Q78"/>
  <c r="P78"/>
  <c r="O78"/>
  <c r="N78"/>
  <c r="M78"/>
  <c r="K78"/>
  <c r="G78"/>
  <c r="E78"/>
  <c r="W77"/>
  <c r="V77"/>
  <c r="U77"/>
  <c r="T77"/>
  <c r="R77"/>
  <c r="Q77"/>
  <c r="P77"/>
  <c r="O77"/>
  <c r="N77"/>
  <c r="M77"/>
  <c r="K77"/>
  <c r="G77"/>
  <c r="E77"/>
  <c r="W76"/>
  <c r="V76"/>
  <c r="U76"/>
  <c r="T76"/>
  <c r="R76"/>
  <c r="Q76"/>
  <c r="P76"/>
  <c r="O76"/>
  <c r="N76"/>
  <c r="M76"/>
  <c r="K76"/>
  <c r="G76"/>
  <c r="E76"/>
  <c r="W75"/>
  <c r="V75"/>
  <c r="U75"/>
  <c r="T75"/>
  <c r="R75"/>
  <c r="Q75"/>
  <c r="P75"/>
  <c r="O75"/>
  <c r="N75"/>
  <c r="M75"/>
  <c r="K75"/>
  <c r="G75"/>
  <c r="E75"/>
  <c r="W74"/>
  <c r="V74"/>
  <c r="U74"/>
  <c r="T74"/>
  <c r="R74"/>
  <c r="Q74"/>
  <c r="P74"/>
  <c r="O74"/>
  <c r="N74"/>
  <c r="M74"/>
  <c r="K74"/>
  <c r="G74"/>
  <c r="E74"/>
  <c r="W73"/>
  <c r="V73"/>
  <c r="U73"/>
  <c r="T73"/>
  <c r="R73"/>
  <c r="Q73"/>
  <c r="P73"/>
  <c r="O73"/>
  <c r="N73"/>
  <c r="M73"/>
  <c r="K73"/>
  <c r="G73"/>
  <c r="E73"/>
  <c r="W72"/>
  <c r="V72"/>
  <c r="U72"/>
  <c r="T72"/>
  <c r="R72"/>
  <c r="Q72"/>
  <c r="P72"/>
  <c r="O72"/>
  <c r="N72"/>
  <c r="M72"/>
  <c r="K72"/>
  <c r="G72"/>
  <c r="E72"/>
  <c r="W71"/>
  <c r="V71"/>
  <c r="U71"/>
  <c r="T71"/>
  <c r="R71"/>
  <c r="Q71"/>
  <c r="P71"/>
  <c r="O71"/>
  <c r="N71"/>
  <c r="M71"/>
  <c r="K71"/>
  <c r="G71"/>
  <c r="E71"/>
  <c r="W70"/>
  <c r="V70"/>
  <c r="U70"/>
  <c r="T70"/>
  <c r="R70"/>
  <c r="Q70"/>
  <c r="P70"/>
  <c r="O70"/>
  <c r="N70"/>
  <c r="M70"/>
  <c r="K70"/>
  <c r="G70"/>
  <c r="E70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W67"/>
  <c r="V67"/>
  <c r="U67"/>
  <c r="T67"/>
  <c r="R67"/>
  <c r="Q67"/>
  <c r="P67"/>
  <c r="O67"/>
  <c r="N67"/>
  <c r="M67"/>
  <c r="K67"/>
  <c r="G67"/>
  <c r="E67"/>
  <c r="W66"/>
  <c r="V66"/>
  <c r="U66"/>
  <c r="T66"/>
  <c r="R66"/>
  <c r="Q66"/>
  <c r="P66"/>
  <c r="O66"/>
  <c r="N66"/>
  <c r="M66"/>
  <c r="K66"/>
  <c r="G66"/>
  <c r="E66"/>
  <c r="W65"/>
  <c r="V65"/>
  <c r="U65"/>
  <c r="T65"/>
  <c r="R65"/>
  <c r="Q65"/>
  <c r="P65"/>
  <c r="O65"/>
  <c r="N65"/>
  <c r="M65"/>
  <c r="K65"/>
  <c r="G65"/>
  <c r="E65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W63"/>
  <c r="V63"/>
  <c r="U63"/>
  <c r="T63"/>
  <c r="R63"/>
  <c r="Q63"/>
  <c r="P63"/>
  <c r="O63"/>
  <c r="N63"/>
  <c r="M63"/>
  <c r="K63"/>
  <c r="G63"/>
  <c r="E63"/>
  <c r="W62"/>
  <c r="V62"/>
  <c r="U62"/>
  <c r="T62"/>
  <c r="R62"/>
  <c r="Q62"/>
  <c r="P62"/>
  <c r="O62"/>
  <c r="N62"/>
  <c r="M62"/>
  <c r="K62"/>
  <c r="G62"/>
  <c r="E62"/>
  <c r="W61"/>
  <c r="V61"/>
  <c r="U61"/>
  <c r="T61"/>
  <c r="R61"/>
  <c r="Q61"/>
  <c r="P61"/>
  <c r="O61"/>
  <c r="N61"/>
  <c r="M61"/>
  <c r="K61"/>
  <c r="G61"/>
  <c r="E61"/>
  <c r="W60"/>
  <c r="V60"/>
  <c r="U60"/>
  <c r="T60"/>
  <c r="R60"/>
  <c r="Q60"/>
  <c r="P60"/>
  <c r="O60"/>
  <c r="N60"/>
  <c r="M60"/>
  <c r="K60"/>
  <c r="G60"/>
  <c r="E60"/>
  <c r="W59"/>
  <c r="V59"/>
  <c r="U59"/>
  <c r="T59"/>
  <c r="R59"/>
  <c r="Q59"/>
  <c r="P59"/>
  <c r="O59"/>
  <c r="N59"/>
  <c r="M59"/>
  <c r="K59"/>
  <c r="G59"/>
  <c r="E59"/>
  <c r="W58"/>
  <c r="V58"/>
  <c r="U58"/>
  <c r="T58"/>
  <c r="R58"/>
  <c r="Q58"/>
  <c r="P58"/>
  <c r="O58"/>
  <c r="N58"/>
  <c r="M58"/>
  <c r="K58"/>
  <c r="G58"/>
  <c r="E58"/>
  <c r="W57"/>
  <c r="V57"/>
  <c r="U57"/>
  <c r="T57"/>
  <c r="R57"/>
  <c r="Q57"/>
  <c r="P57"/>
  <c r="O57"/>
  <c r="N57"/>
  <c r="M57"/>
  <c r="K57"/>
  <c r="G57"/>
  <c r="E57"/>
  <c r="W56"/>
  <c r="V56"/>
  <c r="U56"/>
  <c r="T56"/>
  <c r="R56"/>
  <c r="Q56"/>
  <c r="P56"/>
  <c r="O56"/>
  <c r="N56"/>
  <c r="M56"/>
  <c r="K56"/>
  <c r="G56"/>
  <c r="E56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W54"/>
  <c r="V54"/>
  <c r="U54"/>
  <c r="T54"/>
  <c r="R54"/>
  <c r="Q54"/>
  <c r="P54"/>
  <c r="O54"/>
  <c r="N54"/>
  <c r="M54"/>
  <c r="K54"/>
  <c r="G54"/>
  <c r="E54"/>
  <c r="W53"/>
  <c r="V53"/>
  <c r="U53"/>
  <c r="T53"/>
  <c r="R53"/>
  <c r="Q53"/>
  <c r="P53"/>
  <c r="O53"/>
  <c r="N53"/>
  <c r="M53"/>
  <c r="K53"/>
  <c r="G53"/>
  <c r="E53"/>
  <c r="W52"/>
  <c r="V52"/>
  <c r="U52"/>
  <c r="T52"/>
  <c r="R52"/>
  <c r="Q52"/>
  <c r="P52"/>
  <c r="O52"/>
  <c r="N52"/>
  <c r="M52"/>
  <c r="K52"/>
  <c r="G52"/>
  <c r="E52"/>
  <c r="W51"/>
  <c r="V51"/>
  <c r="U51"/>
  <c r="T51"/>
  <c r="R51"/>
  <c r="Q51"/>
  <c r="P51"/>
  <c r="O51"/>
  <c r="N51"/>
  <c r="M51"/>
  <c r="K51"/>
  <c r="G51"/>
  <c r="E51"/>
  <c r="W50"/>
  <c r="V50"/>
  <c r="U50"/>
  <c r="T50"/>
  <c r="R50"/>
  <c r="Q50"/>
  <c r="P50"/>
  <c r="O50"/>
  <c r="N50"/>
  <c r="M50"/>
  <c r="K50"/>
  <c r="G50"/>
  <c r="E50"/>
  <c r="W49"/>
  <c r="V49"/>
  <c r="U49"/>
  <c r="T49"/>
  <c r="R49"/>
  <c r="Q49"/>
  <c r="P49"/>
  <c r="O49"/>
  <c r="N49"/>
  <c r="M49"/>
  <c r="K49"/>
  <c r="G49"/>
  <c r="E49"/>
  <c r="W48"/>
  <c r="V48"/>
  <c r="U48"/>
  <c r="T48"/>
  <c r="R48"/>
  <c r="Q48"/>
  <c r="P48"/>
  <c r="O48"/>
  <c r="N48"/>
  <c r="M48"/>
  <c r="K48"/>
  <c r="G48"/>
  <c r="E48"/>
  <c r="W47"/>
  <c r="V47"/>
  <c r="U47"/>
  <c r="T47"/>
  <c r="R47"/>
  <c r="Q47"/>
  <c r="P47"/>
  <c r="O47"/>
  <c r="N47"/>
  <c r="M47"/>
  <c r="K47"/>
  <c r="G47"/>
  <c r="E47"/>
  <c r="W46"/>
  <c r="V46"/>
  <c r="U46"/>
  <c r="T46"/>
  <c r="R46"/>
  <c r="Q46"/>
  <c r="P46"/>
  <c r="O46"/>
  <c r="N46"/>
  <c r="M46"/>
  <c r="K46"/>
  <c r="G46"/>
  <c r="E46"/>
  <c r="W45"/>
  <c r="V45"/>
  <c r="U45"/>
  <c r="T45"/>
  <c r="R45"/>
  <c r="Q45"/>
  <c r="P45"/>
  <c r="O45"/>
  <c r="N45"/>
  <c r="M45"/>
  <c r="K45"/>
  <c r="G45"/>
  <c r="E45"/>
  <c r="W44"/>
  <c r="V44"/>
  <c r="U44"/>
  <c r="T44"/>
  <c r="R44"/>
  <c r="Q44"/>
  <c r="P44"/>
  <c r="O44"/>
  <c r="N44"/>
  <c r="M44"/>
  <c r="K44"/>
  <c r="G44"/>
  <c r="E44"/>
  <c r="W43"/>
  <c r="V43"/>
  <c r="U43"/>
  <c r="T43"/>
  <c r="R43"/>
  <c r="Q43"/>
  <c r="P43"/>
  <c r="O43"/>
  <c r="N43"/>
  <c r="M43"/>
  <c r="K43"/>
  <c r="G43"/>
  <c r="E43"/>
  <c r="W42"/>
  <c r="V42"/>
  <c r="U42"/>
  <c r="T42"/>
  <c r="R42"/>
  <c r="Q42"/>
  <c r="P42"/>
  <c r="O42"/>
  <c r="N42"/>
  <c r="M42"/>
  <c r="K42"/>
  <c r="G42"/>
  <c r="E42"/>
  <c r="W41"/>
  <c r="V41"/>
  <c r="U41"/>
  <c r="T41"/>
  <c r="R41"/>
  <c r="Q41"/>
  <c r="P41"/>
  <c r="O41"/>
  <c r="N41"/>
  <c r="M41"/>
  <c r="K41"/>
  <c r="G41"/>
  <c r="E41"/>
  <c r="W40"/>
  <c r="V40"/>
  <c r="U40"/>
  <c r="T40"/>
  <c r="R40"/>
  <c r="Q40"/>
  <c r="P40"/>
  <c r="O40"/>
  <c r="N40"/>
  <c r="M40"/>
  <c r="K40"/>
  <c r="G40"/>
  <c r="E40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W37"/>
  <c r="V37"/>
  <c r="U37"/>
  <c r="T37"/>
  <c r="R37"/>
  <c r="Q37"/>
  <c r="P37"/>
  <c r="O37"/>
  <c r="N37"/>
  <c r="M37"/>
  <c r="K37"/>
  <c r="G37"/>
  <c r="E37"/>
  <c r="W36"/>
  <c r="V36"/>
  <c r="U36"/>
  <c r="T36"/>
  <c r="R36"/>
  <c r="Q36"/>
  <c r="P36"/>
  <c r="O36"/>
  <c r="N36"/>
  <c r="M36"/>
  <c r="K36"/>
  <c r="G36"/>
  <c r="F36"/>
  <c r="E36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W33"/>
  <c r="V33"/>
  <c r="U33"/>
  <c r="T33"/>
  <c r="R33"/>
  <c r="Q33"/>
  <c r="P33"/>
  <c r="O33"/>
  <c r="N33"/>
  <c r="M33"/>
  <c r="K33"/>
  <c r="G33"/>
  <c r="E33"/>
  <c r="W32"/>
  <c r="V32"/>
  <c r="U32"/>
  <c r="T32"/>
  <c r="R32"/>
  <c r="Q32"/>
  <c r="P32"/>
  <c r="O32"/>
  <c r="N32"/>
  <c r="M32"/>
  <c r="K32"/>
  <c r="G32"/>
  <c r="E32"/>
  <c r="W31"/>
  <c r="V31"/>
  <c r="U31"/>
  <c r="T31"/>
  <c r="R31"/>
  <c r="Q31"/>
  <c r="P31"/>
  <c r="O31"/>
  <c r="N31"/>
  <c r="M31"/>
  <c r="K31"/>
  <c r="G31"/>
  <c r="E31"/>
  <c r="W30"/>
  <c r="V30"/>
  <c r="U30"/>
  <c r="T30"/>
  <c r="R30"/>
  <c r="Q30"/>
  <c r="P30"/>
  <c r="O30"/>
  <c r="N30"/>
  <c r="M30"/>
  <c r="K30"/>
  <c r="G30"/>
  <c r="E30"/>
  <c r="W29"/>
  <c r="V29"/>
  <c r="U29"/>
  <c r="T29"/>
  <c r="R29"/>
  <c r="Q29"/>
  <c r="P29"/>
  <c r="O29"/>
  <c r="N29"/>
  <c r="M29"/>
  <c r="K29"/>
  <c r="G29"/>
  <c r="E29"/>
  <c r="W28"/>
  <c r="V28"/>
  <c r="U28"/>
  <c r="T28"/>
  <c r="R28"/>
  <c r="Q28"/>
  <c r="P28"/>
  <c r="O28"/>
  <c r="N28"/>
  <c r="M28"/>
  <c r="K28"/>
  <c r="G28"/>
  <c r="F28"/>
  <c r="E28"/>
  <c r="D28"/>
  <c r="W27"/>
  <c r="V27"/>
  <c r="U27"/>
  <c r="T27"/>
  <c r="R27"/>
  <c r="Q27"/>
  <c r="P27"/>
  <c r="O27"/>
  <c r="N27"/>
  <c r="M27"/>
  <c r="K27"/>
  <c r="G27"/>
  <c r="E27"/>
  <c r="W26"/>
  <c r="V26"/>
  <c r="U26"/>
  <c r="T26"/>
  <c r="R26"/>
  <c r="Q26"/>
  <c r="P26"/>
  <c r="O26"/>
  <c r="N26"/>
  <c r="M26"/>
  <c r="K26"/>
  <c r="G26"/>
  <c r="E26"/>
  <c r="W25"/>
  <c r="V25"/>
  <c r="U25"/>
  <c r="T25"/>
  <c r="R25"/>
  <c r="Q25"/>
  <c r="P25"/>
  <c r="O25"/>
  <c r="N25"/>
  <c r="M25"/>
  <c r="K25"/>
  <c r="G25"/>
  <c r="E25"/>
  <c r="W24"/>
  <c r="V24"/>
  <c r="U24"/>
  <c r="T24"/>
  <c r="R24"/>
  <c r="Q24"/>
  <c r="P24"/>
  <c r="O24"/>
  <c r="N24"/>
  <c r="M24"/>
  <c r="K24"/>
  <c r="G24"/>
  <c r="E24"/>
  <c r="W23"/>
  <c r="V23"/>
  <c r="U23"/>
  <c r="T23"/>
  <c r="R23"/>
  <c r="Q23"/>
  <c r="P23"/>
  <c r="O23"/>
  <c r="N23"/>
  <c r="M23"/>
  <c r="K23"/>
  <c r="G23"/>
  <c r="F23"/>
  <c r="E23"/>
  <c r="D23"/>
  <c r="C23"/>
  <c r="W22"/>
  <c r="V22"/>
  <c r="U22"/>
  <c r="T22"/>
  <c r="R22"/>
  <c r="Q22"/>
  <c r="P22"/>
  <c r="O22"/>
  <c r="N22"/>
  <c r="M22"/>
  <c r="K22"/>
  <c r="G22"/>
  <c r="E22"/>
  <c r="W21"/>
  <c r="V21"/>
  <c r="U21"/>
  <c r="T21"/>
  <c r="R21"/>
  <c r="Q21"/>
  <c r="P21"/>
  <c r="O21"/>
  <c r="N21"/>
  <c r="M21"/>
  <c r="K21"/>
  <c r="G21"/>
  <c r="E21"/>
  <c r="W20"/>
  <c r="V20"/>
  <c r="U20"/>
  <c r="T20"/>
  <c r="R20"/>
  <c r="Q20"/>
  <c r="P20"/>
  <c r="O20"/>
  <c r="N20"/>
  <c r="M20"/>
  <c r="K20"/>
  <c r="G20"/>
  <c r="E20"/>
  <c r="W19"/>
  <c r="V19"/>
  <c r="U19"/>
  <c r="T19"/>
  <c r="R19"/>
  <c r="Q19"/>
  <c r="P19"/>
  <c r="O19"/>
  <c r="N19"/>
  <c r="M19"/>
  <c r="K19"/>
  <c r="G19"/>
  <c r="E19"/>
  <c r="W18"/>
  <c r="V18"/>
  <c r="U18"/>
  <c r="T18"/>
  <c r="R18"/>
  <c r="Q18"/>
  <c r="P18"/>
  <c r="O18"/>
  <c r="N18"/>
  <c r="M18"/>
  <c r="K18"/>
  <c r="G18"/>
  <c r="E18"/>
  <c r="W17"/>
  <c r="V17"/>
  <c r="U17"/>
  <c r="T17"/>
  <c r="R17"/>
  <c r="Q17"/>
  <c r="P17"/>
  <c r="O17"/>
  <c r="N17"/>
  <c r="M17"/>
  <c r="K17"/>
  <c r="G17"/>
  <c r="E17"/>
  <c r="W16"/>
  <c r="V16"/>
  <c r="U16"/>
  <c r="T16"/>
  <c r="R16"/>
  <c r="Q16"/>
  <c r="P16"/>
  <c r="O16"/>
  <c r="N16"/>
  <c r="M16"/>
  <c r="K16"/>
  <c r="G16"/>
  <c r="E16"/>
  <c r="W15"/>
  <c r="V15"/>
  <c r="U15"/>
  <c r="T15"/>
  <c r="R15"/>
  <c r="Q15"/>
  <c r="P15"/>
  <c r="O15"/>
  <c r="N15"/>
  <c r="M15"/>
  <c r="K15"/>
  <c r="G15"/>
  <c r="E15"/>
  <c r="W14"/>
  <c r="V14"/>
  <c r="U14"/>
  <c r="T14"/>
  <c r="R14"/>
  <c r="Q14"/>
  <c r="P14"/>
  <c r="O14"/>
  <c r="N14"/>
  <c r="M14"/>
  <c r="K14"/>
  <c r="G14"/>
  <c r="E14"/>
  <c r="W13"/>
  <c r="V13"/>
  <c r="U13"/>
  <c r="T13"/>
  <c r="R13"/>
  <c r="Q13"/>
  <c r="P13"/>
  <c r="O13"/>
  <c r="N13"/>
  <c r="M13"/>
  <c r="K13"/>
  <c r="G13"/>
  <c r="E13"/>
  <c r="W12"/>
  <c r="V12"/>
  <c r="U12"/>
  <c r="T12"/>
  <c r="R12"/>
  <c r="Q12"/>
  <c r="P12"/>
  <c r="O12"/>
  <c r="N12"/>
  <c r="M12"/>
  <c r="K12"/>
  <c r="G12"/>
  <c r="E12"/>
  <c r="W11"/>
  <c r="V11"/>
  <c r="U11"/>
  <c r="T11"/>
  <c r="R11"/>
  <c r="Q11"/>
  <c r="P11"/>
  <c r="O11"/>
  <c r="N11"/>
  <c r="M11"/>
  <c r="K11"/>
  <c r="G11"/>
  <c r="E11"/>
  <c r="W10"/>
  <c r="V10"/>
  <c r="U10"/>
  <c r="T10"/>
  <c r="R10"/>
  <c r="Q10"/>
  <c r="P10"/>
  <c r="O10"/>
  <c r="N10"/>
  <c r="M10"/>
  <c r="K10"/>
  <c r="G10"/>
  <c r="E10"/>
  <c r="W9"/>
  <c r="V9"/>
  <c r="U9"/>
  <c r="T9"/>
  <c r="R9"/>
  <c r="Q9"/>
  <c r="P9"/>
  <c r="O9"/>
  <c r="N9"/>
  <c r="M9"/>
  <c r="K9"/>
  <c r="G9"/>
  <c r="E9"/>
  <c r="W8"/>
  <c r="V8"/>
  <c r="U8"/>
  <c r="T8"/>
  <c r="R8"/>
  <c r="Q8"/>
  <c r="P8"/>
  <c r="O8"/>
  <c r="N8"/>
  <c r="M8"/>
  <c r="K8"/>
  <c r="G8"/>
  <c r="E8"/>
  <c r="W7"/>
  <c r="V7"/>
  <c r="U7"/>
  <c r="T7"/>
  <c r="R7"/>
  <c r="Q7"/>
  <c r="P7"/>
  <c r="O7"/>
  <c r="N7"/>
  <c r="M7"/>
  <c r="K7"/>
  <c r="G7"/>
  <c r="E7"/>
  <c r="E143" i="217"/>
  <c r="J142"/>
  <c r="E142"/>
  <c r="M141"/>
  <c r="L141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V139"/>
  <c r="U139"/>
  <c r="T139"/>
  <c r="S139"/>
  <c r="R139"/>
  <c r="Q139"/>
  <c r="O139"/>
  <c r="N139"/>
  <c r="E139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V137"/>
  <c r="U137"/>
  <c r="T137"/>
  <c r="S137"/>
  <c r="R137"/>
  <c r="Q137"/>
  <c r="O137"/>
  <c r="N137"/>
  <c r="M137"/>
  <c r="L137"/>
  <c r="G137"/>
  <c r="F137"/>
  <c r="E137"/>
  <c r="V136"/>
  <c r="U136"/>
  <c r="T136"/>
  <c r="S136"/>
  <c r="R136"/>
  <c r="Q136"/>
  <c r="O136"/>
  <c r="N136"/>
  <c r="G136"/>
  <c r="F136"/>
  <c r="E136"/>
  <c r="V135"/>
  <c r="U135"/>
  <c r="T135"/>
  <c r="S135"/>
  <c r="R135"/>
  <c r="Q135"/>
  <c r="O135"/>
  <c r="N135"/>
  <c r="M135"/>
  <c r="G135"/>
  <c r="F135"/>
  <c r="E135"/>
  <c r="V134"/>
  <c r="U134"/>
  <c r="T134"/>
  <c r="S134"/>
  <c r="R134"/>
  <c r="Q134"/>
  <c r="O134"/>
  <c r="N134"/>
  <c r="G134"/>
  <c r="F134"/>
  <c r="E134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Y132"/>
  <c r="X132"/>
  <c r="W132"/>
  <c r="V132"/>
  <c r="U132"/>
  <c r="T132"/>
  <c r="S132"/>
  <c r="R132"/>
  <c r="Q132"/>
  <c r="O132"/>
  <c r="N132"/>
  <c r="M132"/>
  <c r="K132"/>
  <c r="G132"/>
  <c r="F132"/>
  <c r="E132"/>
  <c r="W131"/>
  <c r="V131"/>
  <c r="U131"/>
  <c r="T131"/>
  <c r="S131"/>
  <c r="R131"/>
  <c r="Q131"/>
  <c r="O131"/>
  <c r="N131"/>
  <c r="M131"/>
  <c r="K131"/>
  <c r="G131"/>
  <c r="F131"/>
  <c r="E131"/>
  <c r="W130"/>
  <c r="V130"/>
  <c r="U130"/>
  <c r="T130"/>
  <c r="S130"/>
  <c r="R130"/>
  <c r="Q130"/>
  <c r="O130"/>
  <c r="N130"/>
  <c r="M130"/>
  <c r="L130"/>
  <c r="K130"/>
  <c r="G130"/>
  <c r="F130"/>
  <c r="E130"/>
  <c r="W129"/>
  <c r="V129"/>
  <c r="U129"/>
  <c r="T129"/>
  <c r="S129"/>
  <c r="R129"/>
  <c r="Q129"/>
  <c r="O129"/>
  <c r="N129"/>
  <c r="M129"/>
  <c r="L129"/>
  <c r="K129"/>
  <c r="G129"/>
  <c r="F129"/>
  <c r="E129"/>
  <c r="W128"/>
  <c r="V128"/>
  <c r="U128"/>
  <c r="T128"/>
  <c r="S128"/>
  <c r="R128"/>
  <c r="Q128"/>
  <c r="O128"/>
  <c r="N128"/>
  <c r="M128"/>
  <c r="K128"/>
  <c r="G128"/>
  <c r="F128"/>
  <c r="E128"/>
  <c r="W127"/>
  <c r="V127"/>
  <c r="U127"/>
  <c r="T127"/>
  <c r="S127"/>
  <c r="R127"/>
  <c r="Q127"/>
  <c r="O127"/>
  <c r="N127"/>
  <c r="M127"/>
  <c r="K127"/>
  <c r="G127"/>
  <c r="F127"/>
  <c r="E127"/>
  <c r="W126"/>
  <c r="V126"/>
  <c r="U126"/>
  <c r="T126"/>
  <c r="S126"/>
  <c r="R126"/>
  <c r="Q126"/>
  <c r="O126"/>
  <c r="N126"/>
  <c r="M126"/>
  <c r="K126"/>
  <c r="G126"/>
  <c r="F126"/>
  <c r="E126"/>
  <c r="W125"/>
  <c r="V125"/>
  <c r="U125"/>
  <c r="T125"/>
  <c r="S125"/>
  <c r="R125"/>
  <c r="Q125"/>
  <c r="O125"/>
  <c r="N125"/>
  <c r="M125"/>
  <c r="K125"/>
  <c r="G125"/>
  <c r="F125"/>
  <c r="E125"/>
  <c r="W124"/>
  <c r="V124"/>
  <c r="U124"/>
  <c r="T124"/>
  <c r="S124"/>
  <c r="R124"/>
  <c r="Q124"/>
  <c r="O124"/>
  <c r="N124"/>
  <c r="M124"/>
  <c r="K124"/>
  <c r="G124"/>
  <c r="F124"/>
  <c r="E124"/>
  <c r="W123"/>
  <c r="V123"/>
  <c r="U123"/>
  <c r="T123"/>
  <c r="S123"/>
  <c r="R123"/>
  <c r="Q123"/>
  <c r="O123"/>
  <c r="N123"/>
  <c r="M123"/>
  <c r="K123"/>
  <c r="G123"/>
  <c r="F123"/>
  <c r="E123"/>
  <c r="W122"/>
  <c r="V122"/>
  <c r="U122"/>
  <c r="T122"/>
  <c r="S122"/>
  <c r="R122"/>
  <c r="Q122"/>
  <c r="O122"/>
  <c r="N122"/>
  <c r="M122"/>
  <c r="K122"/>
  <c r="G122"/>
  <c r="F122"/>
  <c r="E122"/>
  <c r="W121"/>
  <c r="V121"/>
  <c r="U121"/>
  <c r="T121"/>
  <c r="S121"/>
  <c r="R121"/>
  <c r="Q121"/>
  <c r="O121"/>
  <c r="N121"/>
  <c r="M121"/>
  <c r="K121"/>
  <c r="G121"/>
  <c r="F121"/>
  <c r="E121"/>
  <c r="W120"/>
  <c r="V120"/>
  <c r="U120"/>
  <c r="T120"/>
  <c r="S120"/>
  <c r="R120"/>
  <c r="Q120"/>
  <c r="O120"/>
  <c r="N120"/>
  <c r="M120"/>
  <c r="K120"/>
  <c r="G120"/>
  <c r="F120"/>
  <c r="E120"/>
  <c r="W119"/>
  <c r="V119"/>
  <c r="U119"/>
  <c r="T119"/>
  <c r="S119"/>
  <c r="R119"/>
  <c r="Q119"/>
  <c r="O119"/>
  <c r="N119"/>
  <c r="M119"/>
  <c r="L119"/>
  <c r="K119"/>
  <c r="G119"/>
  <c r="F119"/>
  <c r="E119"/>
  <c r="W118"/>
  <c r="V118"/>
  <c r="U118"/>
  <c r="T118"/>
  <c r="S118"/>
  <c r="R118"/>
  <c r="Q118"/>
  <c r="O118"/>
  <c r="N118"/>
  <c r="M118"/>
  <c r="K118"/>
  <c r="G118"/>
  <c r="F118"/>
  <c r="E118"/>
  <c r="W117"/>
  <c r="V117"/>
  <c r="U117"/>
  <c r="T117"/>
  <c r="S117"/>
  <c r="R117"/>
  <c r="Q117"/>
  <c r="O117"/>
  <c r="N117"/>
  <c r="M117"/>
  <c r="L117"/>
  <c r="K117"/>
  <c r="G117"/>
  <c r="F117"/>
  <c r="E117"/>
  <c r="W116"/>
  <c r="V116"/>
  <c r="U116"/>
  <c r="T116"/>
  <c r="S116"/>
  <c r="R116"/>
  <c r="Q116"/>
  <c r="O116"/>
  <c r="N116"/>
  <c r="M116"/>
  <c r="K116"/>
  <c r="G116"/>
  <c r="F116"/>
  <c r="E116"/>
  <c r="W115"/>
  <c r="V115"/>
  <c r="U115"/>
  <c r="T115"/>
  <c r="S115"/>
  <c r="R115"/>
  <c r="Q115"/>
  <c r="O115"/>
  <c r="N115"/>
  <c r="M115"/>
  <c r="L115"/>
  <c r="K115"/>
  <c r="G115"/>
  <c r="F115"/>
  <c r="E115"/>
  <c r="W114"/>
  <c r="V114"/>
  <c r="U114"/>
  <c r="T114"/>
  <c r="S114"/>
  <c r="R114"/>
  <c r="Q114"/>
  <c r="O114"/>
  <c r="N114"/>
  <c r="M114"/>
  <c r="L114"/>
  <c r="K114"/>
  <c r="G114"/>
  <c r="F114"/>
  <c r="E114"/>
  <c r="W113"/>
  <c r="V113"/>
  <c r="U113"/>
  <c r="T113"/>
  <c r="S113"/>
  <c r="R113"/>
  <c r="Q113"/>
  <c r="O113"/>
  <c r="N113"/>
  <c r="M113"/>
  <c r="L113"/>
  <c r="K113"/>
  <c r="G113"/>
  <c r="F113"/>
  <c r="E113"/>
  <c r="W112"/>
  <c r="V112"/>
  <c r="U112"/>
  <c r="T112"/>
  <c r="S112"/>
  <c r="R112"/>
  <c r="Q112"/>
  <c r="O112"/>
  <c r="N112"/>
  <c r="M112"/>
  <c r="K112"/>
  <c r="G112"/>
  <c r="F112"/>
  <c r="E112"/>
  <c r="W111"/>
  <c r="V111"/>
  <c r="U111"/>
  <c r="T111"/>
  <c r="S111"/>
  <c r="R111"/>
  <c r="Q111"/>
  <c r="O111"/>
  <c r="N111"/>
  <c r="M111"/>
  <c r="L111"/>
  <c r="K111"/>
  <c r="G111"/>
  <c r="F111"/>
  <c r="E111"/>
  <c r="W110"/>
  <c r="V110"/>
  <c r="U110"/>
  <c r="T110"/>
  <c r="S110"/>
  <c r="R110"/>
  <c r="Q110"/>
  <c r="O110"/>
  <c r="N110"/>
  <c r="M110"/>
  <c r="L110"/>
  <c r="K110"/>
  <c r="G110"/>
  <c r="F110"/>
  <c r="E110"/>
  <c r="W109"/>
  <c r="V109"/>
  <c r="U109"/>
  <c r="T109"/>
  <c r="S109"/>
  <c r="R109"/>
  <c r="Q109"/>
  <c r="O109"/>
  <c r="N109"/>
  <c r="M109"/>
  <c r="L109"/>
  <c r="K109"/>
  <c r="G109"/>
  <c r="F109"/>
  <c r="E109"/>
  <c r="W108"/>
  <c r="V108"/>
  <c r="U108"/>
  <c r="T108"/>
  <c r="S108"/>
  <c r="R108"/>
  <c r="Q108"/>
  <c r="O108"/>
  <c r="N108"/>
  <c r="M108"/>
  <c r="L108"/>
  <c r="K108"/>
  <c r="G108"/>
  <c r="F108"/>
  <c r="E108"/>
  <c r="W107"/>
  <c r="V107"/>
  <c r="U107"/>
  <c r="T107"/>
  <c r="S107"/>
  <c r="R107"/>
  <c r="Q107"/>
  <c r="O107"/>
  <c r="N107"/>
  <c r="M107"/>
  <c r="L107"/>
  <c r="K107"/>
  <c r="G107"/>
  <c r="F107"/>
  <c r="E107"/>
  <c r="W106"/>
  <c r="V106"/>
  <c r="U106"/>
  <c r="T106"/>
  <c r="S106"/>
  <c r="R106"/>
  <c r="Q106"/>
  <c r="O106"/>
  <c r="N106"/>
  <c r="M106"/>
  <c r="L106"/>
  <c r="K106"/>
  <c r="G106"/>
  <c r="F106"/>
  <c r="E106"/>
  <c r="W105"/>
  <c r="V105"/>
  <c r="U105"/>
  <c r="T105"/>
  <c r="S105"/>
  <c r="R105"/>
  <c r="Q105"/>
  <c r="O105"/>
  <c r="N105"/>
  <c r="M105"/>
  <c r="L105"/>
  <c r="K105"/>
  <c r="G105"/>
  <c r="F105"/>
  <c r="E105"/>
  <c r="W104"/>
  <c r="V104"/>
  <c r="U104"/>
  <c r="T104"/>
  <c r="S104"/>
  <c r="R104"/>
  <c r="Q104"/>
  <c r="O104"/>
  <c r="N104"/>
  <c r="M104"/>
  <c r="L104"/>
  <c r="K104"/>
  <c r="G104"/>
  <c r="F104"/>
  <c r="E104"/>
  <c r="W103"/>
  <c r="V103"/>
  <c r="U103"/>
  <c r="T103"/>
  <c r="S103"/>
  <c r="R103"/>
  <c r="Q103"/>
  <c r="O103"/>
  <c r="N103"/>
  <c r="M103"/>
  <c r="L103"/>
  <c r="K103"/>
  <c r="G103"/>
  <c r="F103"/>
  <c r="E103"/>
  <c r="W102"/>
  <c r="V102"/>
  <c r="U102"/>
  <c r="T102"/>
  <c r="S102"/>
  <c r="R102"/>
  <c r="Q102"/>
  <c r="O102"/>
  <c r="N102"/>
  <c r="M102"/>
  <c r="L102"/>
  <c r="K102"/>
  <c r="G102"/>
  <c r="F102"/>
  <c r="E102"/>
  <c r="W101"/>
  <c r="V101"/>
  <c r="U101"/>
  <c r="T101"/>
  <c r="S101"/>
  <c r="R101"/>
  <c r="Q101"/>
  <c r="O101"/>
  <c r="N101"/>
  <c r="G101"/>
  <c r="F101"/>
  <c r="E101"/>
  <c r="W100"/>
  <c r="V100"/>
  <c r="U100"/>
  <c r="T100"/>
  <c r="S100"/>
  <c r="R100"/>
  <c r="Q100"/>
  <c r="O100"/>
  <c r="N100"/>
  <c r="M100"/>
  <c r="L100"/>
  <c r="K100"/>
  <c r="G100"/>
  <c r="F100"/>
  <c r="E100"/>
  <c r="W99"/>
  <c r="V99"/>
  <c r="U99"/>
  <c r="T99"/>
  <c r="S99"/>
  <c r="R99"/>
  <c r="Q99"/>
  <c r="O99"/>
  <c r="N99"/>
  <c r="M99"/>
  <c r="K99"/>
  <c r="G99"/>
  <c r="F99"/>
  <c r="E99"/>
  <c r="W98"/>
  <c r="V98"/>
  <c r="U98"/>
  <c r="T98"/>
  <c r="S98"/>
  <c r="R98"/>
  <c r="Q98"/>
  <c r="O98"/>
  <c r="N98"/>
  <c r="M98"/>
  <c r="L98"/>
  <c r="K98"/>
  <c r="G98"/>
  <c r="F98"/>
  <c r="E98"/>
  <c r="W97"/>
  <c r="V97"/>
  <c r="U97"/>
  <c r="T97"/>
  <c r="S97"/>
  <c r="R97"/>
  <c r="Q97"/>
  <c r="O97"/>
  <c r="N97"/>
  <c r="M97"/>
  <c r="L97"/>
  <c r="K97"/>
  <c r="G97"/>
  <c r="F97"/>
  <c r="E97"/>
  <c r="W96"/>
  <c r="V96"/>
  <c r="U96"/>
  <c r="T96"/>
  <c r="S96"/>
  <c r="R96"/>
  <c r="Q96"/>
  <c r="O96"/>
  <c r="N96"/>
  <c r="M96"/>
  <c r="L96"/>
  <c r="K96"/>
  <c r="G96"/>
  <c r="F96"/>
  <c r="E96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W94"/>
  <c r="V94"/>
  <c r="U94"/>
  <c r="T94"/>
  <c r="S94"/>
  <c r="R94"/>
  <c r="Q94"/>
  <c r="O94"/>
  <c r="N94"/>
  <c r="M94"/>
  <c r="K94"/>
  <c r="G94"/>
  <c r="F94"/>
  <c r="E94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W92"/>
  <c r="V92"/>
  <c r="U92"/>
  <c r="T92"/>
  <c r="S92"/>
  <c r="R92"/>
  <c r="Q92"/>
  <c r="O92"/>
  <c r="N92"/>
  <c r="M92"/>
  <c r="K92"/>
  <c r="G92"/>
  <c r="E92"/>
  <c r="W91"/>
  <c r="V91"/>
  <c r="U91"/>
  <c r="T91"/>
  <c r="S91"/>
  <c r="R91"/>
  <c r="Q91"/>
  <c r="O91"/>
  <c r="N91"/>
  <c r="M91"/>
  <c r="K91"/>
  <c r="G91"/>
  <c r="E91"/>
  <c r="W90"/>
  <c r="V90"/>
  <c r="U90"/>
  <c r="T90"/>
  <c r="S90"/>
  <c r="R90"/>
  <c r="Q90"/>
  <c r="O90"/>
  <c r="N90"/>
  <c r="M90"/>
  <c r="K90"/>
  <c r="G90"/>
  <c r="E90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W88"/>
  <c r="V88"/>
  <c r="U88"/>
  <c r="T88"/>
  <c r="S88"/>
  <c r="R88"/>
  <c r="Q88"/>
  <c r="O88"/>
  <c r="N88"/>
  <c r="M88"/>
  <c r="K88"/>
  <c r="G88"/>
  <c r="E88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M86"/>
  <c r="L86"/>
  <c r="K86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W84"/>
  <c r="V84"/>
  <c r="U84"/>
  <c r="T84"/>
  <c r="R84"/>
  <c r="Q84"/>
  <c r="P84"/>
  <c r="O84"/>
  <c r="N84"/>
  <c r="M84"/>
  <c r="K84"/>
  <c r="G84"/>
  <c r="E84"/>
  <c r="W83"/>
  <c r="V83"/>
  <c r="U83"/>
  <c r="T83"/>
  <c r="R83"/>
  <c r="Q83"/>
  <c r="P83"/>
  <c r="O83"/>
  <c r="N83"/>
  <c r="M83"/>
  <c r="K83"/>
  <c r="G83"/>
  <c r="E83"/>
  <c r="W82"/>
  <c r="V82"/>
  <c r="U82"/>
  <c r="T82"/>
  <c r="R82"/>
  <c r="Q82"/>
  <c r="P82"/>
  <c r="O82"/>
  <c r="N82"/>
  <c r="M82"/>
  <c r="K82"/>
  <c r="G82"/>
  <c r="E82"/>
  <c r="W81"/>
  <c r="V81"/>
  <c r="U81"/>
  <c r="T81"/>
  <c r="R81"/>
  <c r="Q81"/>
  <c r="P81"/>
  <c r="O81"/>
  <c r="N81"/>
  <c r="M81"/>
  <c r="K81"/>
  <c r="G81"/>
  <c r="E81"/>
  <c r="W80"/>
  <c r="V80"/>
  <c r="U80"/>
  <c r="T80"/>
  <c r="R80"/>
  <c r="Q80"/>
  <c r="P80"/>
  <c r="O80"/>
  <c r="N80"/>
  <c r="M80"/>
  <c r="K80"/>
  <c r="G80"/>
  <c r="E80"/>
  <c r="W79"/>
  <c r="V79"/>
  <c r="U79"/>
  <c r="T79"/>
  <c r="R79"/>
  <c r="Q79"/>
  <c r="P79"/>
  <c r="O79"/>
  <c r="N79"/>
  <c r="M79"/>
  <c r="K79"/>
  <c r="G79"/>
  <c r="E79"/>
  <c r="W78"/>
  <c r="V78"/>
  <c r="U78"/>
  <c r="T78"/>
  <c r="R78"/>
  <c r="Q78"/>
  <c r="P78"/>
  <c r="O78"/>
  <c r="N78"/>
  <c r="M78"/>
  <c r="K78"/>
  <c r="G78"/>
  <c r="E78"/>
  <c r="W77"/>
  <c r="V77"/>
  <c r="U77"/>
  <c r="T77"/>
  <c r="R77"/>
  <c r="Q77"/>
  <c r="P77"/>
  <c r="O77"/>
  <c r="N77"/>
  <c r="M77"/>
  <c r="K77"/>
  <c r="G77"/>
  <c r="E77"/>
  <c r="W76"/>
  <c r="V76"/>
  <c r="U76"/>
  <c r="T76"/>
  <c r="R76"/>
  <c r="Q76"/>
  <c r="P76"/>
  <c r="O76"/>
  <c r="N76"/>
  <c r="M76"/>
  <c r="K76"/>
  <c r="G76"/>
  <c r="E76"/>
  <c r="W75"/>
  <c r="V75"/>
  <c r="U75"/>
  <c r="T75"/>
  <c r="R75"/>
  <c r="Q75"/>
  <c r="P75"/>
  <c r="O75"/>
  <c r="N75"/>
  <c r="M75"/>
  <c r="K75"/>
  <c r="G75"/>
  <c r="E75"/>
  <c r="W74"/>
  <c r="V74"/>
  <c r="U74"/>
  <c r="T74"/>
  <c r="R74"/>
  <c r="Q74"/>
  <c r="P74"/>
  <c r="O74"/>
  <c r="N74"/>
  <c r="M74"/>
  <c r="K74"/>
  <c r="G74"/>
  <c r="E74"/>
  <c r="W73"/>
  <c r="V73"/>
  <c r="U73"/>
  <c r="T73"/>
  <c r="R73"/>
  <c r="Q73"/>
  <c r="P73"/>
  <c r="O73"/>
  <c r="N73"/>
  <c r="M73"/>
  <c r="K73"/>
  <c r="G73"/>
  <c r="E73"/>
  <c r="W72"/>
  <c r="V72"/>
  <c r="U72"/>
  <c r="T72"/>
  <c r="R72"/>
  <c r="Q72"/>
  <c r="P72"/>
  <c r="O72"/>
  <c r="N72"/>
  <c r="M72"/>
  <c r="K72"/>
  <c r="G72"/>
  <c r="E72"/>
  <c r="W71"/>
  <c r="V71"/>
  <c r="U71"/>
  <c r="T71"/>
  <c r="R71"/>
  <c r="Q71"/>
  <c r="P71"/>
  <c r="O71"/>
  <c r="N71"/>
  <c r="M71"/>
  <c r="K71"/>
  <c r="G71"/>
  <c r="E71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W68"/>
  <c r="V68"/>
  <c r="U68"/>
  <c r="T68"/>
  <c r="R68"/>
  <c r="Q68"/>
  <c r="P68"/>
  <c r="O68"/>
  <c r="N68"/>
  <c r="M68"/>
  <c r="K68"/>
  <c r="G68"/>
  <c r="E68"/>
  <c r="W67"/>
  <c r="V67"/>
  <c r="U67"/>
  <c r="T67"/>
  <c r="R67"/>
  <c r="Q67"/>
  <c r="P67"/>
  <c r="O67"/>
  <c r="N67"/>
  <c r="M67"/>
  <c r="K67"/>
  <c r="G67"/>
  <c r="E67"/>
  <c r="W66"/>
  <c r="V66"/>
  <c r="U66"/>
  <c r="T66"/>
  <c r="R66"/>
  <c r="Q66"/>
  <c r="P66"/>
  <c r="O66"/>
  <c r="N66"/>
  <c r="M66"/>
  <c r="K66"/>
  <c r="G66"/>
  <c r="E66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W64"/>
  <c r="V64"/>
  <c r="U64"/>
  <c r="T64"/>
  <c r="R64"/>
  <c r="Q64"/>
  <c r="P64"/>
  <c r="O64"/>
  <c r="N64"/>
  <c r="M64"/>
  <c r="K64"/>
  <c r="G64"/>
  <c r="E64"/>
  <c r="W63"/>
  <c r="V63"/>
  <c r="U63"/>
  <c r="T63"/>
  <c r="R63"/>
  <c r="Q63"/>
  <c r="P63"/>
  <c r="O63"/>
  <c r="N63"/>
  <c r="G63"/>
  <c r="E63"/>
  <c r="W62"/>
  <c r="V62"/>
  <c r="U62"/>
  <c r="T62"/>
  <c r="R62"/>
  <c r="Q62"/>
  <c r="P62"/>
  <c r="O62"/>
  <c r="N62"/>
  <c r="M62"/>
  <c r="K62"/>
  <c r="G62"/>
  <c r="E62"/>
  <c r="W61"/>
  <c r="V61"/>
  <c r="U61"/>
  <c r="T61"/>
  <c r="R61"/>
  <c r="Q61"/>
  <c r="P61"/>
  <c r="O61"/>
  <c r="N61"/>
  <c r="M61"/>
  <c r="K61"/>
  <c r="G61"/>
  <c r="E61"/>
  <c r="W60"/>
  <c r="V60"/>
  <c r="U60"/>
  <c r="T60"/>
  <c r="R60"/>
  <c r="Q60"/>
  <c r="P60"/>
  <c r="O60"/>
  <c r="N60"/>
  <c r="M60"/>
  <c r="K60"/>
  <c r="G60"/>
  <c r="E60"/>
  <c r="W59"/>
  <c r="V59"/>
  <c r="U59"/>
  <c r="T59"/>
  <c r="R59"/>
  <c r="Q59"/>
  <c r="P59"/>
  <c r="O59"/>
  <c r="N59"/>
  <c r="M59"/>
  <c r="K59"/>
  <c r="G59"/>
  <c r="E59"/>
  <c r="W58"/>
  <c r="V58"/>
  <c r="U58"/>
  <c r="T58"/>
  <c r="R58"/>
  <c r="Q58"/>
  <c r="P58"/>
  <c r="O58"/>
  <c r="N58"/>
  <c r="M58"/>
  <c r="K58"/>
  <c r="G58"/>
  <c r="E58"/>
  <c r="W57"/>
  <c r="V57"/>
  <c r="U57"/>
  <c r="T57"/>
  <c r="R57"/>
  <c r="Q57"/>
  <c r="P57"/>
  <c r="O57"/>
  <c r="N57"/>
  <c r="M57"/>
  <c r="K57"/>
  <c r="G57"/>
  <c r="E57"/>
  <c r="W56"/>
  <c r="V56"/>
  <c r="U56"/>
  <c r="T56"/>
  <c r="R56"/>
  <c r="Q56"/>
  <c r="P56"/>
  <c r="O56"/>
  <c r="N56"/>
  <c r="M56"/>
  <c r="K56"/>
  <c r="G56"/>
  <c r="E56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W54"/>
  <c r="V54"/>
  <c r="U54"/>
  <c r="T54"/>
  <c r="R54"/>
  <c r="Q54"/>
  <c r="P54"/>
  <c r="O54"/>
  <c r="N54"/>
  <c r="M54"/>
  <c r="K54"/>
  <c r="G54"/>
  <c r="E54"/>
  <c r="W53"/>
  <c r="V53"/>
  <c r="U53"/>
  <c r="T53"/>
  <c r="R53"/>
  <c r="Q53"/>
  <c r="P53"/>
  <c r="O53"/>
  <c r="N53"/>
  <c r="M53"/>
  <c r="K53"/>
  <c r="G53"/>
  <c r="E53"/>
  <c r="W52"/>
  <c r="V52"/>
  <c r="U52"/>
  <c r="T52"/>
  <c r="R52"/>
  <c r="Q52"/>
  <c r="P52"/>
  <c r="O52"/>
  <c r="N52"/>
  <c r="M52"/>
  <c r="K52"/>
  <c r="G52"/>
  <c r="E52"/>
  <c r="W51"/>
  <c r="V51"/>
  <c r="U51"/>
  <c r="T51"/>
  <c r="R51"/>
  <c r="Q51"/>
  <c r="P51"/>
  <c r="O51"/>
  <c r="N51"/>
  <c r="M51"/>
  <c r="K51"/>
  <c r="G51"/>
  <c r="E51"/>
  <c r="W50"/>
  <c r="V50"/>
  <c r="U50"/>
  <c r="T50"/>
  <c r="R50"/>
  <c r="Q50"/>
  <c r="P50"/>
  <c r="O50"/>
  <c r="N50"/>
  <c r="M50"/>
  <c r="K50"/>
  <c r="G50"/>
  <c r="E50"/>
  <c r="W49"/>
  <c r="V49"/>
  <c r="U49"/>
  <c r="T49"/>
  <c r="R49"/>
  <c r="Q49"/>
  <c r="P49"/>
  <c r="O49"/>
  <c r="N49"/>
  <c r="M49"/>
  <c r="K49"/>
  <c r="G49"/>
  <c r="E49"/>
  <c r="W48"/>
  <c r="V48"/>
  <c r="U48"/>
  <c r="T48"/>
  <c r="R48"/>
  <c r="Q48"/>
  <c r="P48"/>
  <c r="O48"/>
  <c r="N48"/>
  <c r="M48"/>
  <c r="K48"/>
  <c r="G48"/>
  <c r="E48"/>
  <c r="W47"/>
  <c r="V47"/>
  <c r="U47"/>
  <c r="T47"/>
  <c r="R47"/>
  <c r="Q47"/>
  <c r="P47"/>
  <c r="O47"/>
  <c r="N47"/>
  <c r="M47"/>
  <c r="K47"/>
  <c r="G47"/>
  <c r="E47"/>
  <c r="W46"/>
  <c r="V46"/>
  <c r="U46"/>
  <c r="T46"/>
  <c r="R46"/>
  <c r="Q46"/>
  <c r="P46"/>
  <c r="O46"/>
  <c r="N46"/>
  <c r="M46"/>
  <c r="K46"/>
  <c r="G46"/>
  <c r="E46"/>
  <c r="W45"/>
  <c r="V45"/>
  <c r="U45"/>
  <c r="T45"/>
  <c r="R45"/>
  <c r="Q45"/>
  <c r="P45"/>
  <c r="O45"/>
  <c r="N45"/>
  <c r="M45"/>
  <c r="K45"/>
  <c r="G45"/>
  <c r="E45"/>
  <c r="W44"/>
  <c r="V44"/>
  <c r="U44"/>
  <c r="T44"/>
  <c r="R44"/>
  <c r="Q44"/>
  <c r="P44"/>
  <c r="O44"/>
  <c r="N44"/>
  <c r="M44"/>
  <c r="K44"/>
  <c r="G44"/>
  <c r="E44"/>
  <c r="W43"/>
  <c r="V43"/>
  <c r="U43"/>
  <c r="T43"/>
  <c r="R43"/>
  <c r="Q43"/>
  <c r="P43"/>
  <c r="O43"/>
  <c r="N43"/>
  <c r="M43"/>
  <c r="K43"/>
  <c r="G43"/>
  <c r="E43"/>
  <c r="W42"/>
  <c r="V42"/>
  <c r="U42"/>
  <c r="T42"/>
  <c r="R42"/>
  <c r="Q42"/>
  <c r="P42"/>
  <c r="O42"/>
  <c r="N42"/>
  <c r="M42"/>
  <c r="K42"/>
  <c r="G42"/>
  <c r="E42"/>
  <c r="W41"/>
  <c r="V41"/>
  <c r="U41"/>
  <c r="T41"/>
  <c r="R41"/>
  <c r="Q41"/>
  <c r="P41"/>
  <c r="O41"/>
  <c r="N41"/>
  <c r="M41"/>
  <c r="K41"/>
  <c r="G41"/>
  <c r="E41"/>
  <c r="W40"/>
  <c r="V40"/>
  <c r="U40"/>
  <c r="T40"/>
  <c r="R40"/>
  <c r="Q40"/>
  <c r="P40"/>
  <c r="O40"/>
  <c r="N40"/>
  <c r="M40"/>
  <c r="K40"/>
  <c r="G40"/>
  <c r="E40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W37"/>
  <c r="V37"/>
  <c r="U37"/>
  <c r="T37"/>
  <c r="R37"/>
  <c r="Q37"/>
  <c r="P37"/>
  <c r="O37"/>
  <c r="N37"/>
  <c r="M37"/>
  <c r="K37"/>
  <c r="G37"/>
  <c r="E37"/>
  <c r="W36"/>
  <c r="V36"/>
  <c r="U36"/>
  <c r="T36"/>
  <c r="R36"/>
  <c r="Q36"/>
  <c r="P36"/>
  <c r="O36"/>
  <c r="N36"/>
  <c r="M36"/>
  <c r="L36"/>
  <c r="K36"/>
  <c r="J36"/>
  <c r="G36"/>
  <c r="F36"/>
  <c r="E36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W33"/>
  <c r="V33"/>
  <c r="U33"/>
  <c r="T33"/>
  <c r="R33"/>
  <c r="Q33"/>
  <c r="P33"/>
  <c r="O33"/>
  <c r="N33"/>
  <c r="M33"/>
  <c r="K33"/>
  <c r="G33"/>
  <c r="E33"/>
  <c r="W32"/>
  <c r="V32"/>
  <c r="U32"/>
  <c r="T32"/>
  <c r="R32"/>
  <c r="Q32"/>
  <c r="P32"/>
  <c r="O32"/>
  <c r="N32"/>
  <c r="M32"/>
  <c r="K32"/>
  <c r="G32"/>
  <c r="E32"/>
  <c r="W31"/>
  <c r="V31"/>
  <c r="U31"/>
  <c r="T31"/>
  <c r="R31"/>
  <c r="Q31"/>
  <c r="P31"/>
  <c r="O31"/>
  <c r="N31"/>
  <c r="M31"/>
  <c r="K31"/>
  <c r="G31"/>
  <c r="E31"/>
  <c r="W30"/>
  <c r="V30"/>
  <c r="U30"/>
  <c r="T30"/>
  <c r="R30"/>
  <c r="Q30"/>
  <c r="P30"/>
  <c r="O30"/>
  <c r="N30"/>
  <c r="M30"/>
  <c r="K30"/>
  <c r="G30"/>
  <c r="E30"/>
  <c r="W29"/>
  <c r="V29"/>
  <c r="U29"/>
  <c r="T29"/>
  <c r="R29"/>
  <c r="Q29"/>
  <c r="P29"/>
  <c r="O29"/>
  <c r="N29"/>
  <c r="M29"/>
  <c r="K29"/>
  <c r="G29"/>
  <c r="E29"/>
  <c r="W28"/>
  <c r="V28"/>
  <c r="U28"/>
  <c r="T28"/>
  <c r="R28"/>
  <c r="Q28"/>
  <c r="P28"/>
  <c r="O28"/>
  <c r="N28"/>
  <c r="M28"/>
  <c r="K28"/>
  <c r="G28"/>
  <c r="F28"/>
  <c r="E28"/>
  <c r="D28"/>
  <c r="W27"/>
  <c r="V27"/>
  <c r="U27"/>
  <c r="T27"/>
  <c r="R27"/>
  <c r="Q27"/>
  <c r="P27"/>
  <c r="O27"/>
  <c r="N27"/>
  <c r="M27"/>
  <c r="K27"/>
  <c r="G27"/>
  <c r="E27"/>
  <c r="W26"/>
  <c r="V26"/>
  <c r="U26"/>
  <c r="T26"/>
  <c r="R26"/>
  <c r="Q26"/>
  <c r="P26"/>
  <c r="O26"/>
  <c r="N26"/>
  <c r="M26"/>
  <c r="K26"/>
  <c r="G26"/>
  <c r="E26"/>
  <c r="W25"/>
  <c r="V25"/>
  <c r="U25"/>
  <c r="T25"/>
  <c r="R25"/>
  <c r="Q25"/>
  <c r="P25"/>
  <c r="O25"/>
  <c r="N25"/>
  <c r="M25"/>
  <c r="K25"/>
  <c r="G25"/>
  <c r="E25"/>
  <c r="W24"/>
  <c r="V24"/>
  <c r="U24"/>
  <c r="T24"/>
  <c r="R24"/>
  <c r="Q24"/>
  <c r="P24"/>
  <c r="O24"/>
  <c r="N24"/>
  <c r="M24"/>
  <c r="K24"/>
  <c r="G24"/>
  <c r="E24"/>
  <c r="W23"/>
  <c r="V23"/>
  <c r="U23"/>
  <c r="T23"/>
  <c r="R23"/>
  <c r="Q23"/>
  <c r="P23"/>
  <c r="O23"/>
  <c r="N23"/>
  <c r="M23"/>
  <c r="K23"/>
  <c r="G23"/>
  <c r="F23"/>
  <c r="E23"/>
  <c r="D23"/>
  <c r="C23"/>
  <c r="W22"/>
  <c r="V22"/>
  <c r="U22"/>
  <c r="T22"/>
  <c r="R22"/>
  <c r="Q22"/>
  <c r="P22"/>
  <c r="O22"/>
  <c r="N22"/>
  <c r="M22"/>
  <c r="K22"/>
  <c r="G22"/>
  <c r="E22"/>
  <c r="W21"/>
  <c r="V21"/>
  <c r="U21"/>
  <c r="T21"/>
  <c r="R21"/>
  <c r="Q21"/>
  <c r="P21"/>
  <c r="O21"/>
  <c r="N21"/>
  <c r="M21"/>
  <c r="K21"/>
  <c r="G21"/>
  <c r="E21"/>
  <c r="W20"/>
  <c r="V20"/>
  <c r="U20"/>
  <c r="T20"/>
  <c r="R20"/>
  <c r="Q20"/>
  <c r="P20"/>
  <c r="O20"/>
  <c r="N20"/>
  <c r="M20"/>
  <c r="K20"/>
  <c r="G20"/>
  <c r="E20"/>
  <c r="W19"/>
  <c r="V19"/>
  <c r="U19"/>
  <c r="T19"/>
  <c r="R19"/>
  <c r="Q19"/>
  <c r="P19"/>
  <c r="O19"/>
  <c r="N19"/>
  <c r="M19"/>
  <c r="K19"/>
  <c r="G19"/>
  <c r="E19"/>
  <c r="W18"/>
  <c r="V18"/>
  <c r="U18"/>
  <c r="T18"/>
  <c r="R18"/>
  <c r="Q18"/>
  <c r="P18"/>
  <c r="O18"/>
  <c r="N18"/>
  <c r="M18"/>
  <c r="K18"/>
  <c r="G18"/>
  <c r="E18"/>
  <c r="W17"/>
  <c r="V17"/>
  <c r="U17"/>
  <c r="T17"/>
  <c r="R17"/>
  <c r="Q17"/>
  <c r="P17"/>
  <c r="O17"/>
  <c r="N17"/>
  <c r="M17"/>
  <c r="K17"/>
  <c r="G17"/>
  <c r="E17"/>
  <c r="W16"/>
  <c r="V16"/>
  <c r="U16"/>
  <c r="T16"/>
  <c r="R16"/>
  <c r="Q16"/>
  <c r="P16"/>
  <c r="O16"/>
  <c r="N16"/>
  <c r="M16"/>
  <c r="K16"/>
  <c r="G16"/>
  <c r="E16"/>
  <c r="W15"/>
  <c r="V15"/>
  <c r="U15"/>
  <c r="T15"/>
  <c r="R15"/>
  <c r="Q15"/>
  <c r="P15"/>
  <c r="O15"/>
  <c r="N15"/>
  <c r="M15"/>
  <c r="K15"/>
  <c r="G15"/>
  <c r="E15"/>
  <c r="W14"/>
  <c r="V14"/>
  <c r="U14"/>
  <c r="T14"/>
  <c r="R14"/>
  <c r="Q14"/>
  <c r="P14"/>
  <c r="O14"/>
  <c r="N14"/>
  <c r="M14"/>
  <c r="K14"/>
  <c r="G14"/>
  <c r="E14"/>
  <c r="W13"/>
  <c r="V13"/>
  <c r="U13"/>
  <c r="T13"/>
  <c r="R13"/>
  <c r="Q13"/>
  <c r="P13"/>
  <c r="O13"/>
  <c r="N13"/>
  <c r="M13"/>
  <c r="K13"/>
  <c r="G13"/>
  <c r="E13"/>
  <c r="W12"/>
  <c r="V12"/>
  <c r="U12"/>
  <c r="T12"/>
  <c r="R12"/>
  <c r="Q12"/>
  <c r="P12"/>
  <c r="O12"/>
  <c r="N12"/>
  <c r="M12"/>
  <c r="K12"/>
  <c r="G12"/>
  <c r="E12"/>
  <c r="W11"/>
  <c r="V11"/>
  <c r="U11"/>
  <c r="T11"/>
  <c r="R11"/>
  <c r="Q11"/>
  <c r="P11"/>
  <c r="O11"/>
  <c r="N11"/>
  <c r="M11"/>
  <c r="K11"/>
  <c r="G11"/>
  <c r="E11"/>
  <c r="W10"/>
  <c r="V10"/>
  <c r="U10"/>
  <c r="T10"/>
  <c r="R10"/>
  <c r="Q10"/>
  <c r="P10"/>
  <c r="O10"/>
  <c r="N10"/>
  <c r="M10"/>
  <c r="K10"/>
  <c r="G10"/>
  <c r="E10"/>
  <c r="W9"/>
  <c r="V9"/>
  <c r="U9"/>
  <c r="T9"/>
  <c r="R9"/>
  <c r="Q9"/>
  <c r="P9"/>
  <c r="O9"/>
  <c r="N9"/>
  <c r="M9"/>
  <c r="K9"/>
  <c r="G9"/>
  <c r="E9"/>
  <c r="W8"/>
  <c r="V8"/>
  <c r="U8"/>
  <c r="T8"/>
  <c r="R8"/>
  <c r="Q8"/>
  <c r="P8"/>
  <c r="O8"/>
  <c r="N8"/>
  <c r="M8"/>
  <c r="K8"/>
  <c r="G8"/>
  <c r="E8"/>
  <c r="W7"/>
  <c r="V7"/>
  <c r="U7"/>
  <c r="T7"/>
  <c r="R7"/>
  <c r="Q7"/>
  <c r="P7"/>
  <c r="O7"/>
  <c r="N7"/>
  <c r="M7"/>
  <c r="K7"/>
  <c r="G7"/>
  <c r="E7"/>
  <c r="E32" i="211"/>
  <c r="D32"/>
  <c r="C32"/>
  <c r="B32"/>
  <c r="E29"/>
  <c r="C29"/>
  <c r="B29"/>
  <c r="F28"/>
  <c r="E28"/>
  <c r="D28"/>
  <c r="C28"/>
  <c r="B28"/>
  <c r="F27"/>
  <c r="C27"/>
  <c r="B27"/>
  <c r="F26"/>
  <c r="E26"/>
  <c r="D26"/>
  <c r="C26"/>
  <c r="B26"/>
  <c r="F25"/>
  <c r="C25"/>
  <c r="F24"/>
  <c r="F23"/>
  <c r="B23"/>
  <c r="F22"/>
  <c r="F21"/>
  <c r="F20"/>
  <c r="F19"/>
  <c r="F18"/>
  <c r="F17"/>
  <c r="F16"/>
  <c r="C16"/>
  <c r="F15"/>
  <c r="C15"/>
  <c r="H14"/>
  <c r="F14"/>
  <c r="D14"/>
  <c r="C14"/>
  <c r="F13"/>
  <c r="E13"/>
  <c r="D13"/>
  <c r="C13"/>
  <c r="F12"/>
  <c r="D12"/>
  <c r="C12"/>
  <c r="F11"/>
  <c r="F10"/>
  <c r="F9"/>
  <c r="F8"/>
  <c r="E8"/>
  <c r="D8"/>
  <c r="C8"/>
  <c r="B8"/>
  <c r="F7"/>
  <c r="E7"/>
  <c r="D7"/>
  <c r="C7"/>
  <c r="B7"/>
  <c r="F6"/>
  <c r="E6"/>
  <c r="D6"/>
  <c r="C6"/>
  <c r="B6"/>
  <c r="F5"/>
  <c r="E5"/>
  <c r="D5"/>
  <c r="C5"/>
  <c r="B5"/>
  <c r="F4"/>
  <c r="E4"/>
  <c r="D4"/>
  <c r="C4"/>
  <c r="B4"/>
  <c r="E50" i="212"/>
  <c r="D50"/>
  <c r="C50"/>
  <c r="B50"/>
  <c r="E49"/>
  <c r="E48"/>
  <c r="D48"/>
  <c r="C48"/>
  <c r="B48"/>
  <c r="E47"/>
  <c r="D47"/>
  <c r="C47"/>
  <c r="E46"/>
  <c r="E45"/>
  <c r="C45"/>
  <c r="G44"/>
  <c r="E44"/>
  <c r="D44"/>
  <c r="C44"/>
  <c r="B44"/>
  <c r="E43"/>
  <c r="E42"/>
  <c r="E41"/>
  <c r="E40"/>
  <c r="E39"/>
  <c r="D39"/>
  <c r="C39"/>
  <c r="B39"/>
  <c r="E38"/>
  <c r="E37"/>
  <c r="D37"/>
  <c r="C37"/>
  <c r="E36"/>
  <c r="E35"/>
  <c r="E34"/>
  <c r="D34"/>
  <c r="E33"/>
  <c r="E32"/>
  <c r="D32"/>
  <c r="E31"/>
  <c r="D31"/>
  <c r="E30"/>
  <c r="E29"/>
  <c r="E28"/>
  <c r="E27"/>
  <c r="E26"/>
  <c r="E25"/>
  <c r="D25"/>
  <c r="C25"/>
  <c r="B25"/>
  <c r="E24"/>
  <c r="E23"/>
  <c r="E22"/>
  <c r="E21"/>
  <c r="E20"/>
  <c r="E19"/>
  <c r="E18"/>
  <c r="E17"/>
  <c r="E16"/>
  <c r="E15"/>
  <c r="D15"/>
  <c r="C15"/>
  <c r="E14"/>
  <c r="E13"/>
  <c r="E12"/>
  <c r="E11"/>
  <c r="D11"/>
  <c r="C11"/>
  <c r="B11"/>
  <c r="E10"/>
  <c r="D10"/>
  <c r="C10"/>
  <c r="B10"/>
  <c r="E9"/>
  <c r="D9"/>
  <c r="E8"/>
  <c r="D8"/>
  <c r="C8"/>
  <c r="B8"/>
  <c r="E7"/>
  <c r="E6"/>
  <c r="D6"/>
  <c r="C6"/>
  <c r="B6"/>
  <c r="F49" i="213"/>
  <c r="E49"/>
  <c r="D49"/>
  <c r="C49"/>
  <c r="B49"/>
  <c r="F48"/>
  <c r="C48"/>
  <c r="F47"/>
  <c r="F46"/>
  <c r="I45"/>
  <c r="H45"/>
  <c r="F45"/>
  <c r="E45"/>
  <c r="D45"/>
  <c r="C45"/>
  <c r="B45"/>
  <c r="F44"/>
  <c r="F42"/>
  <c r="F41"/>
  <c r="F40"/>
  <c r="F39"/>
  <c r="E39"/>
  <c r="D39"/>
  <c r="C39"/>
  <c r="B39"/>
  <c r="F38"/>
  <c r="F37"/>
  <c r="E37"/>
  <c r="D37"/>
  <c r="C37"/>
  <c r="F36"/>
  <c r="F35"/>
  <c r="F34"/>
  <c r="F33"/>
  <c r="F32"/>
  <c r="F31"/>
  <c r="F30"/>
  <c r="F29"/>
  <c r="F28"/>
  <c r="F27"/>
  <c r="F26"/>
  <c r="F25"/>
  <c r="E25"/>
  <c r="D25"/>
  <c r="C25"/>
  <c r="B25"/>
  <c r="F24"/>
  <c r="F23"/>
  <c r="F22"/>
  <c r="F21"/>
  <c r="F20"/>
  <c r="F19"/>
  <c r="F18"/>
  <c r="F17"/>
  <c r="F16"/>
  <c r="F15"/>
  <c r="C15"/>
  <c r="F14"/>
  <c r="E14"/>
  <c r="F13"/>
  <c r="F12"/>
  <c r="F11"/>
  <c r="E11"/>
  <c r="D11"/>
  <c r="C11"/>
  <c r="F10"/>
  <c r="E10"/>
  <c r="D10"/>
  <c r="C10"/>
  <c r="B10"/>
  <c r="F9"/>
  <c r="D9"/>
  <c r="F8"/>
  <c r="E8"/>
  <c r="D8"/>
  <c r="C8"/>
  <c r="B8"/>
  <c r="F7"/>
  <c r="F6"/>
  <c r="C6"/>
  <c r="B6"/>
  <c r="G10" i="202"/>
  <c r="F10"/>
  <c r="E10"/>
  <c r="B10"/>
  <c r="G5"/>
  <c r="E5"/>
  <c r="I24" i="210"/>
  <c r="H24"/>
  <c r="G24"/>
  <c r="F24"/>
  <c r="E24"/>
  <c r="D24"/>
  <c r="C24"/>
  <c r="B24"/>
  <c r="I22"/>
  <c r="G22"/>
  <c r="F22"/>
  <c r="D22"/>
  <c r="B22"/>
  <c r="I21"/>
  <c r="H21"/>
  <c r="G21"/>
  <c r="C21"/>
  <c r="B21"/>
  <c r="I20"/>
  <c r="I19"/>
  <c r="I18"/>
  <c r="H18"/>
  <c r="G18"/>
  <c r="C18"/>
  <c r="B18"/>
  <c r="I17"/>
  <c r="I16"/>
  <c r="H16"/>
  <c r="G16"/>
  <c r="C16"/>
  <c r="B16"/>
  <c r="I15"/>
  <c r="D15"/>
  <c r="I14"/>
  <c r="G14"/>
  <c r="I13"/>
  <c r="H13"/>
  <c r="G13"/>
  <c r="C13"/>
  <c r="B13"/>
  <c r="I12"/>
  <c r="I11"/>
  <c r="H11"/>
  <c r="G11"/>
  <c r="C11"/>
  <c r="B11"/>
  <c r="I10"/>
  <c r="H10"/>
  <c r="G10"/>
  <c r="C10"/>
  <c r="B10"/>
  <c r="I9"/>
  <c r="I8"/>
  <c r="I7"/>
  <c r="I6"/>
  <c r="H6"/>
  <c r="G6"/>
  <c r="C6"/>
  <c r="B6"/>
  <c r="N22" i="203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J20"/>
  <c r="H20"/>
  <c r="G20"/>
  <c r="J19"/>
  <c r="G19"/>
  <c r="D19"/>
  <c r="J18"/>
  <c r="D18"/>
  <c r="J17"/>
  <c r="D17"/>
  <c r="J16"/>
  <c r="D16"/>
  <c r="J15"/>
  <c r="D15"/>
  <c r="L14"/>
  <c r="K14"/>
  <c r="J14"/>
  <c r="I14"/>
  <c r="H14"/>
  <c r="G14"/>
  <c r="F14"/>
  <c r="E14"/>
  <c r="D14"/>
  <c r="C14"/>
  <c r="B14"/>
  <c r="J13"/>
  <c r="G13"/>
  <c r="J12"/>
  <c r="M11"/>
  <c r="L11"/>
  <c r="J11"/>
  <c r="I11"/>
  <c r="H11"/>
  <c r="G11"/>
  <c r="D11"/>
  <c r="M10"/>
  <c r="L10"/>
  <c r="J10"/>
  <c r="I10"/>
  <c r="H10"/>
  <c r="G10"/>
  <c r="D10"/>
  <c r="M9"/>
  <c r="L9"/>
  <c r="J9"/>
  <c r="I9"/>
  <c r="H9"/>
  <c r="G9"/>
  <c r="E9"/>
  <c r="D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E8" i="221"/>
  <c r="D8"/>
  <c r="C8"/>
  <c r="B8"/>
  <c r="E7"/>
  <c r="D7"/>
  <c r="E6"/>
  <c r="D6"/>
  <c r="D11" i="220"/>
  <c r="C11"/>
  <c r="D10"/>
  <c r="D9"/>
  <c r="D8"/>
  <c r="D7"/>
  <c r="D6"/>
  <c r="E45" i="219"/>
  <c r="D45"/>
  <c r="C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32" i="218"/>
  <c r="D32"/>
  <c r="C32"/>
  <c r="B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D18" i="205"/>
  <c r="C18"/>
  <c r="D17"/>
  <c r="C17"/>
  <c r="B17"/>
  <c r="G16"/>
  <c r="F16"/>
  <c r="E16"/>
  <c r="G15"/>
  <c r="F15"/>
  <c r="E15"/>
  <c r="G14"/>
  <c r="F14"/>
  <c r="E14"/>
  <c r="D14"/>
  <c r="C14"/>
  <c r="B14"/>
  <c r="G13"/>
  <c r="F13"/>
  <c r="E13"/>
  <c r="G12"/>
  <c r="F12"/>
  <c r="E12"/>
  <c r="G11"/>
  <c r="F11"/>
  <c r="E11"/>
  <c r="G9"/>
  <c r="F9"/>
  <c r="E9"/>
  <c r="D9"/>
  <c r="C9"/>
  <c r="B9"/>
  <c r="G8"/>
  <c r="F8"/>
  <c r="E8"/>
  <c r="G7"/>
  <c r="F7"/>
  <c r="E7"/>
  <c r="G6"/>
  <c r="F6"/>
  <c r="E6"/>
  <c r="G50" i="204"/>
  <c r="I49"/>
  <c r="H49"/>
  <c r="G49"/>
  <c r="D49"/>
  <c r="C49"/>
  <c r="B49"/>
  <c r="I48"/>
  <c r="I47"/>
  <c r="I46"/>
  <c r="I45"/>
  <c r="I44"/>
  <c r="I43"/>
  <c r="D43"/>
  <c r="I42"/>
  <c r="D42"/>
  <c r="I41"/>
  <c r="D41"/>
  <c r="C41"/>
  <c r="B41"/>
  <c r="I40"/>
  <c r="H40"/>
  <c r="G40"/>
  <c r="D39"/>
  <c r="I38"/>
  <c r="G38"/>
  <c r="D38"/>
  <c r="C38"/>
  <c r="B38"/>
  <c r="I37"/>
  <c r="I36"/>
  <c r="D36"/>
  <c r="I35"/>
  <c r="D35"/>
  <c r="I34"/>
  <c r="D34"/>
  <c r="I33"/>
  <c r="H33"/>
  <c r="G33"/>
  <c r="D33"/>
  <c r="D32"/>
  <c r="D31"/>
  <c r="I30"/>
  <c r="D30"/>
  <c r="I29"/>
  <c r="D29"/>
  <c r="I28"/>
  <c r="H28"/>
  <c r="G28"/>
  <c r="D28"/>
  <c r="I27"/>
  <c r="D27"/>
  <c r="I26"/>
  <c r="H26"/>
  <c r="G26"/>
  <c r="D26"/>
  <c r="B26"/>
  <c r="I25"/>
  <c r="H25"/>
  <c r="G25"/>
  <c r="D25"/>
  <c r="I24"/>
  <c r="D24"/>
  <c r="C24"/>
  <c r="B24"/>
  <c r="I23"/>
  <c r="I22"/>
  <c r="I21"/>
  <c r="I20"/>
  <c r="I19"/>
  <c r="I18"/>
  <c r="I17"/>
  <c r="I16"/>
  <c r="I15"/>
  <c r="I14"/>
  <c r="I13"/>
  <c r="I12"/>
  <c r="I11"/>
  <c r="H11"/>
  <c r="G11"/>
  <c r="D11"/>
  <c r="I10"/>
  <c r="H10"/>
  <c r="G10"/>
  <c r="D10"/>
  <c r="I9"/>
  <c r="D9"/>
  <c r="I8"/>
  <c r="G8"/>
  <c r="D8"/>
  <c r="C8"/>
  <c r="B8"/>
  <c r="I7"/>
  <c r="H7"/>
  <c r="G7"/>
  <c r="I6"/>
  <c r="H6"/>
  <c r="G6"/>
  <c r="I5"/>
  <c r="H5"/>
  <c r="G5"/>
  <c r="D5"/>
  <c r="C5"/>
  <c r="B5"/>
  <c r="G46" i="215"/>
  <c r="I45"/>
  <c r="H45"/>
  <c r="G45"/>
  <c r="D45"/>
  <c r="C45"/>
  <c r="B45"/>
  <c r="I44"/>
  <c r="I43"/>
  <c r="I42"/>
  <c r="I41"/>
  <c r="I40"/>
  <c r="D40"/>
  <c r="I39"/>
  <c r="D39"/>
  <c r="C39"/>
  <c r="B39"/>
  <c r="I38"/>
  <c r="H38"/>
  <c r="G38"/>
  <c r="I37"/>
  <c r="H37"/>
  <c r="D37"/>
  <c r="I36"/>
  <c r="D36"/>
  <c r="C36"/>
  <c r="B36"/>
  <c r="I35"/>
  <c r="I34"/>
  <c r="I33"/>
  <c r="D33"/>
  <c r="I32"/>
  <c r="H32"/>
  <c r="G32"/>
  <c r="D32"/>
  <c r="I31"/>
  <c r="D31"/>
  <c r="D30"/>
  <c r="D29"/>
  <c r="I28"/>
  <c r="D28"/>
  <c r="I27"/>
  <c r="H27"/>
  <c r="D27"/>
  <c r="I26"/>
  <c r="D26"/>
  <c r="I25"/>
  <c r="H25"/>
  <c r="D25"/>
  <c r="I24"/>
  <c r="H24"/>
  <c r="G24"/>
  <c r="D24"/>
  <c r="I23"/>
  <c r="D23"/>
  <c r="C23"/>
  <c r="B23"/>
  <c r="I21"/>
  <c r="I20"/>
  <c r="I19"/>
  <c r="I18"/>
  <c r="I17"/>
  <c r="I16"/>
  <c r="I15"/>
  <c r="I14"/>
  <c r="I13"/>
  <c r="I12"/>
  <c r="I11"/>
  <c r="H11"/>
  <c r="D11"/>
  <c r="I10"/>
  <c r="H10"/>
  <c r="D10"/>
  <c r="I9"/>
  <c r="H9"/>
  <c r="D9"/>
  <c r="I8"/>
  <c r="H8"/>
  <c r="D8"/>
  <c r="C8"/>
  <c r="B8"/>
  <c r="I7"/>
  <c r="H7"/>
  <c r="G7"/>
  <c r="I6"/>
  <c r="H6"/>
  <c r="G6"/>
  <c r="I5"/>
  <c r="H5"/>
  <c r="G5"/>
  <c r="D5"/>
  <c r="C5"/>
  <c r="B5"/>
</calcChain>
</file>

<file path=xl/sharedStrings.xml><?xml version="1.0" encoding="utf-8"?>
<sst xmlns="http://schemas.openxmlformats.org/spreadsheetml/2006/main" count="1006" uniqueCount="585">
  <si>
    <t>总表</t>
  </si>
  <si>
    <t>2021年公共财政预算平衡总表（草案）</t>
  </si>
  <si>
    <t>单位：万元</t>
  </si>
  <si>
    <t>项    目</t>
  </si>
  <si>
    <t>2020年预算数</t>
  </si>
  <si>
    <t>2021年预算预计数</t>
  </si>
  <si>
    <t>增减</t>
  </si>
  <si>
    <t>备注</t>
  </si>
  <si>
    <t>本级收入</t>
  </si>
  <si>
    <t>一、公共预算支出预计</t>
  </si>
  <si>
    <t>1、人员支出</t>
  </si>
  <si>
    <t xml:space="preserve">     (1)人员工资及配套</t>
  </si>
  <si>
    <t>一、地方收入</t>
  </si>
  <si>
    <t>其中：区直机关在职</t>
  </si>
  <si>
    <t>1、含差额人员，机关差额人员48人204万元；2、新增新招考教师108人1464万元。3、教师与公务员待遇补差2300万元。4、自然资源局31人260万元。5、预留各项配套经费2046万元。</t>
  </si>
  <si>
    <t>大祥税务局</t>
  </si>
  <si>
    <t>养老保险体制改革后退休经费</t>
  </si>
  <si>
    <t>预计单位16%部分为4167万元，职业年金8%部分2083万元，财政兜底保障3250万元。</t>
  </si>
  <si>
    <t xml:space="preserve">    市地税直属局</t>
  </si>
  <si>
    <t>乡、街道</t>
  </si>
  <si>
    <t>1、乡镇街道计生人员人员经费列入；2、工资普调及重新核定。</t>
  </si>
  <si>
    <t xml:space="preserve">    大祥财政局</t>
  </si>
  <si>
    <t>医疗保险</t>
  </si>
  <si>
    <t>1、工资总额（基本工资+津补贴或绩效工资）的8%，津补贴按22800元人平标准的实际发放数。2、大病互助75元/人，43万元。2、教育代课教师医保16万元。3、工资提标配套基数提高。</t>
  </si>
  <si>
    <t>工会经费</t>
  </si>
  <si>
    <t>工资提标配套基数提高</t>
  </si>
  <si>
    <t>教育代课老师工资及年终补贴</t>
  </si>
  <si>
    <t>1、2000元/月/人 共67人，160.8万元；2、教师年终补贴26.8万元，每人4000元/年；3、临聘人员代课老师200万元</t>
  </si>
  <si>
    <t>住房公积金</t>
  </si>
  <si>
    <t>工资提标缴费基数提高</t>
  </si>
  <si>
    <t>事业单位老工伤人员抚恤</t>
  </si>
  <si>
    <t>工伤保险费</t>
  </si>
  <si>
    <t>按基本工资、津补贴之和的1%（教育、卫生类事业单位按1.4%）计算安排，提标后缴费基数增加</t>
  </si>
  <si>
    <t>一次性抚恤及遗属补助</t>
  </si>
  <si>
    <t>公务员医疗补助</t>
  </si>
  <si>
    <t>生育保险</t>
  </si>
  <si>
    <t>工资总额（基本工资+津补贴或绩效工资）的0.5%，津补贴按22800元人平标准实际发放数</t>
  </si>
  <si>
    <t>失业保险</t>
  </si>
  <si>
    <t>减少乡镇街道配套</t>
  </si>
  <si>
    <t>职业年金</t>
  </si>
  <si>
    <t>教育省部以上劳模一次性生活补贴</t>
  </si>
  <si>
    <t xml:space="preserve">养老保险改革后教育省部级以上劳模一次性生活补贴                                                         </t>
  </si>
  <si>
    <t>二、上级补助财力</t>
  </si>
  <si>
    <t>预留工资及增人增资</t>
  </si>
  <si>
    <t>省管县体制改革补助收入</t>
  </si>
  <si>
    <t>省管县体制补助基数1020万元，城镇土地使用税基数返还128万元，增加营改增体制返还1455万元</t>
  </si>
  <si>
    <t xml:space="preserve">    （2）津补贴                </t>
  </si>
  <si>
    <t>转移支付补助</t>
  </si>
  <si>
    <t xml:space="preserve">     其中： 公务员津补贴</t>
  </si>
  <si>
    <t>区市监局下放公务员增加</t>
  </si>
  <si>
    <t>上级补助维修经费</t>
  </si>
  <si>
    <t>教育事业单位绩效工资</t>
  </si>
  <si>
    <t>义务教育按人平27378元安排 ，教育新增106人</t>
  </si>
  <si>
    <t xml:space="preserve"> 义务教育免杂费</t>
  </si>
  <si>
    <t>义务教育提标，新标准城乡小学每人600元，中学每人800元 含贫困寄宿生24万</t>
  </si>
  <si>
    <t>其他全额事业单位补助</t>
  </si>
  <si>
    <t>区市监局下放事业人员增加</t>
  </si>
  <si>
    <t>市补助</t>
  </si>
  <si>
    <t>1、市体制补助762万元，2012年子弟学校下放基数175万元；2、市与区定额财力补助145万元。</t>
  </si>
  <si>
    <t>差额单位</t>
  </si>
  <si>
    <t>财政负担75%</t>
  </si>
  <si>
    <t>税源转移补助</t>
  </si>
  <si>
    <t>湘窖酒业税收、农商行、湘中制药基数</t>
  </si>
  <si>
    <t>政法系统转移支付</t>
  </si>
  <si>
    <t>其他各项上级补助</t>
  </si>
  <si>
    <t xml:space="preserve">   （3）特殊岗位津贴</t>
  </si>
  <si>
    <t>减少司法2017-2019年部分。</t>
  </si>
  <si>
    <t>交通税费改革体制补助</t>
  </si>
  <si>
    <t>2、公用经费</t>
  </si>
  <si>
    <t>卫生院收入</t>
  </si>
  <si>
    <t>其中：公务费</t>
  </si>
  <si>
    <t>专项公用支出</t>
  </si>
  <si>
    <t>电话费</t>
  </si>
  <si>
    <t>三、上年结转净结余</t>
  </si>
  <si>
    <t>福利费</t>
  </si>
  <si>
    <t>与市结算补助</t>
  </si>
  <si>
    <t>其他交通支出</t>
  </si>
  <si>
    <t>新增区工商局下放人员及公务员职级套转支出</t>
  </si>
  <si>
    <t>3、专项支出</t>
  </si>
  <si>
    <t>四、上级债券收入</t>
  </si>
  <si>
    <t>（1）征管经费及超收分成</t>
  </si>
  <si>
    <t>债券</t>
  </si>
  <si>
    <t>（2）收费列收列支</t>
  </si>
  <si>
    <t>（3）单位专项支出安排</t>
  </si>
  <si>
    <t>见附表2</t>
  </si>
  <si>
    <t>（4）综合专项支出</t>
  </si>
  <si>
    <t>见附表3</t>
  </si>
  <si>
    <t>（4）预备费</t>
  </si>
  <si>
    <t>二、上解支出</t>
  </si>
  <si>
    <t>合计</t>
  </si>
  <si>
    <t>收支差额</t>
  </si>
  <si>
    <t>2021年调整预算预计数</t>
  </si>
  <si>
    <t>附表一</t>
  </si>
  <si>
    <t>教师与公务员待遇补差增加336万元</t>
  </si>
  <si>
    <t>市地税直属局</t>
  </si>
  <si>
    <t>大祥财政局</t>
  </si>
  <si>
    <t xml:space="preserve"> </t>
  </si>
  <si>
    <t>职业年金做实2021年仅做实退休人员</t>
  </si>
  <si>
    <t>退休人员一次性生活补助</t>
  </si>
  <si>
    <t>扩大范围，社区人员与差额人员纳入预算</t>
  </si>
  <si>
    <t>养老保险原试点期间个人缴费退费</t>
  </si>
  <si>
    <t>教育系统退休人员</t>
  </si>
  <si>
    <t>老工伤人员补贴</t>
  </si>
  <si>
    <t>预计增量11725万元</t>
  </si>
  <si>
    <t>农垦企业及农科所养老保险补助</t>
  </si>
  <si>
    <t>农业转移人口市民化奖励资金</t>
  </si>
  <si>
    <t>公务员职级套转交通补贴提标（2019年7月－2020年12月）</t>
  </si>
  <si>
    <t>存量资金</t>
  </si>
  <si>
    <t>大祥税务局以前年度挂账缺口1100万元，二分局2019年、2020年缺口200万元未安排</t>
  </si>
  <si>
    <t>一般债券</t>
  </si>
  <si>
    <t>历年缺口资金1.2亿元缺口未安排</t>
  </si>
  <si>
    <t>专项债券</t>
  </si>
  <si>
    <t>（5）预备费</t>
  </si>
  <si>
    <t>（6)一般债券支出</t>
  </si>
  <si>
    <t>（7)专项债券支出</t>
  </si>
  <si>
    <t>见附表4</t>
  </si>
  <si>
    <t>历年缺口4485万元,</t>
  </si>
  <si>
    <t>附表1：</t>
  </si>
  <si>
    <t>收入项目</t>
  </si>
  <si>
    <t>2020年完成数</t>
  </si>
  <si>
    <t>2021年预算数</t>
  </si>
  <si>
    <t>2021年度预计数</t>
  </si>
  <si>
    <t>预计数比上年增长</t>
  </si>
  <si>
    <t>比预算(+/-)%</t>
  </si>
  <si>
    <t>增长额</t>
  </si>
  <si>
    <t>比率%</t>
  </si>
  <si>
    <t xml:space="preserve">    大祥税务局</t>
  </si>
  <si>
    <t xml:space="preserve">    市税务局二分局</t>
  </si>
  <si>
    <t>地方收入合计</t>
  </si>
  <si>
    <t>全年上划合计</t>
  </si>
  <si>
    <t>一般公共财政预算收入总计</t>
  </si>
  <si>
    <t>税收收入</t>
  </si>
  <si>
    <t>非税收入</t>
  </si>
  <si>
    <t>非税占财政总收入比</t>
  </si>
  <si>
    <t>非税占地方财政收入比</t>
  </si>
  <si>
    <t>2021年预算调整事项明细表</t>
  </si>
  <si>
    <t>（年度预算已安排，预算执行超（节）支需调整表）</t>
  </si>
  <si>
    <t>单位或项目</t>
  </si>
  <si>
    <t>实际支出数</t>
  </si>
  <si>
    <t>超（节）支数</t>
  </si>
  <si>
    <t>建议调整数</t>
  </si>
  <si>
    <t>备　　　注</t>
  </si>
  <si>
    <t>购置费（含考察车辆购置及设备采购）</t>
  </si>
  <si>
    <t>本年度支出10万元，结余40万元安排至下年</t>
  </si>
  <si>
    <t>扫黑除恶</t>
  </si>
  <si>
    <t>2021年实际支出数</t>
  </si>
  <si>
    <t>维稳专项经费（含防范邪教、民调、信访、国安、稳定）</t>
  </si>
  <si>
    <t>农贸市场政策性补助及租金补助经费</t>
  </si>
  <si>
    <t>森林城市创建</t>
  </si>
  <si>
    <t>2021年预计支出数</t>
  </si>
  <si>
    <t>社区区级配套经费</t>
  </si>
  <si>
    <t>本年度支出1160万元，结余40万元</t>
  </si>
  <si>
    <t>矛调机制建设经费</t>
  </si>
  <si>
    <t>本年度未支出，安排至下年</t>
  </si>
  <si>
    <t>社区惠民补助经费</t>
  </si>
  <si>
    <t>本年度支出224万元，结余16万元</t>
  </si>
  <si>
    <t>暂付款清理</t>
  </si>
  <si>
    <t>智慧环卫一体化清扫保洁外包费（含垃圾分类处理费）</t>
  </si>
  <si>
    <t>实际支出4517.55万元，2900万元调整至一般债支出</t>
  </si>
  <si>
    <t>拆违控违</t>
  </si>
  <si>
    <t>债务还本付息</t>
  </si>
  <si>
    <t>工业发展基金（含人才发展基金）</t>
  </si>
  <si>
    <t>城乡居民医保区级配套</t>
  </si>
  <si>
    <t>创文</t>
  </si>
  <si>
    <t>村集体经济扶助基金</t>
  </si>
  <si>
    <t>巡视整改要求</t>
  </si>
  <si>
    <t>重大项目前期</t>
  </si>
  <si>
    <t>维修、维护费</t>
  </si>
  <si>
    <t>会议费</t>
  </si>
  <si>
    <t>奖励</t>
  </si>
  <si>
    <t>区级培训费</t>
  </si>
  <si>
    <t>网格化建设</t>
  </si>
  <si>
    <t>调整至一般债支出</t>
  </si>
  <si>
    <t>学校长效维修</t>
  </si>
  <si>
    <t>学校改造建设</t>
  </si>
  <si>
    <t>乡村振兴</t>
  </si>
  <si>
    <t>农业发展资金</t>
  </si>
  <si>
    <t>（年度预算未安排，预算执行需增加表）</t>
  </si>
  <si>
    <t>驻长驻京工作经费</t>
  </si>
  <si>
    <t>区委常委会</t>
  </si>
  <si>
    <t>安全生产及应急管理专项</t>
  </si>
  <si>
    <t>消防、应急等经费，区政府常务会</t>
  </si>
  <si>
    <t>“宝庆大叔”专项</t>
  </si>
  <si>
    <t>蔡锷故里博览园开园工作经费</t>
  </si>
  <si>
    <t>产业发展专项（农科园）</t>
  </si>
  <si>
    <t>东风水厂建设</t>
  </si>
  <si>
    <t>政府常务会议</t>
  </si>
  <si>
    <t>蔡锷垃圾填埋场防护距离搬迁</t>
  </si>
  <si>
    <t>政府常务会</t>
  </si>
  <si>
    <t>扶贫区级配套</t>
  </si>
  <si>
    <t>金融中心工作经费</t>
  </si>
  <si>
    <t>老旧小区及立面改造专项</t>
  </si>
  <si>
    <t>社区矫正工作经费</t>
  </si>
  <si>
    <t>巡视及审计后勤保障经费</t>
  </si>
  <si>
    <t>生态环保专项</t>
  </si>
  <si>
    <t>一件事一次办专项</t>
  </si>
  <si>
    <t>0-6岁儿童残疾人补助</t>
  </si>
  <si>
    <t>社消培育经费</t>
  </si>
  <si>
    <t>新时代警务专项</t>
  </si>
  <si>
    <t>春耕生产抛荒治理专项</t>
  </si>
  <si>
    <t>“八一”建军节慰问专项</t>
  </si>
  <si>
    <t>法律援助中心建设经费</t>
  </si>
  <si>
    <t>特别防护期维稳经费</t>
  </si>
  <si>
    <t>信访工作经费</t>
  </si>
  <si>
    <t>宣传报道</t>
  </si>
  <si>
    <t>宣传学习教育</t>
  </si>
  <si>
    <t>临聘人员工资缺口</t>
  </si>
  <si>
    <t>解决市场监督管理局运行经费</t>
  </si>
  <si>
    <t>政府常务会（2020年运行缺口）</t>
  </si>
  <si>
    <t>困难群众救助</t>
  </si>
  <si>
    <t>机关水电气</t>
  </si>
  <si>
    <t>风险普查专项</t>
  </si>
  <si>
    <t>农村住房保障专项</t>
  </si>
  <si>
    <t>教师体检费</t>
  </si>
  <si>
    <t>小游园项目配套资金</t>
  </si>
  <si>
    <t>大学生入伍奖励经费</t>
  </si>
  <si>
    <t>退役士兵补缴社保</t>
  </si>
  <si>
    <t>转业期间士官安置期间生活补助及社保补缴经费</t>
  </si>
  <si>
    <t>《大祥年鉴》编撰工作经费</t>
  </si>
  <si>
    <t>“迎接省政府大督查”工作经费</t>
  </si>
  <si>
    <t>全区电子卖场运营维护费</t>
  </si>
  <si>
    <t>电子采购专家库维护费</t>
  </si>
  <si>
    <t>一般债支出表</t>
  </si>
  <si>
    <t>小学建设</t>
  </si>
  <si>
    <t>智慧环卫一体化(垃圾分类、收集、运转一体化项目)</t>
  </si>
  <si>
    <t>邵阳市大祥区农村公路建设</t>
  </si>
  <si>
    <t>乡村振兴（农村人居环境整治、改水改厕及农发资金）</t>
  </si>
  <si>
    <t>大祥区网格化中心服务管理平台项目</t>
  </si>
  <si>
    <t>专项债支出表</t>
  </si>
  <si>
    <t>湘商产业园、农业科技示范园</t>
  </si>
  <si>
    <t>2000</t>
  </si>
  <si>
    <t>专项债支出</t>
  </si>
  <si>
    <t>罗市特色小镇建设支出</t>
  </si>
  <si>
    <t>附表3：</t>
  </si>
  <si>
    <t>2020年财税征管部门预算手续费测算表（目标数）</t>
  </si>
  <si>
    <t>单位:万元</t>
  </si>
  <si>
    <t>2019年完成数</t>
  </si>
  <si>
    <t>2019年手续费及奖励经费合计</t>
  </si>
  <si>
    <t>完成数</t>
  </si>
  <si>
    <t>手续费</t>
  </si>
  <si>
    <t>剔除手续费后财力</t>
  </si>
  <si>
    <t>小计</t>
  </si>
  <si>
    <t>预算收入</t>
  </si>
  <si>
    <t>超短收数</t>
  </si>
  <si>
    <t>按3%核算</t>
  </si>
  <si>
    <t>按4%核算</t>
  </si>
  <si>
    <t>按10%核算</t>
  </si>
  <si>
    <t>其他</t>
  </si>
  <si>
    <t>6=7+8</t>
  </si>
  <si>
    <t>8</t>
  </si>
  <si>
    <t>9=10+12</t>
  </si>
  <si>
    <t>11=6-10</t>
  </si>
  <si>
    <t>12=13+14+15+16</t>
  </si>
  <si>
    <t>13</t>
  </si>
  <si>
    <t>14</t>
  </si>
  <si>
    <t>15=8*90%*10%</t>
  </si>
  <si>
    <t>16</t>
  </si>
  <si>
    <t>1、2019年税务局完成数按视同完成调整预算数21662万元测算征收经费，增长比例较2018年增长7.2%。</t>
  </si>
  <si>
    <t>税务征收</t>
  </si>
  <si>
    <t>其中 :区税务局收入小计</t>
  </si>
  <si>
    <t>2、按保既得利益的2018年完成数测算奖励21662-21248=414。</t>
  </si>
  <si>
    <t>其他税收收入</t>
  </si>
  <si>
    <t xml:space="preserve">                  耕地占用税</t>
  </si>
  <si>
    <t>市税务二局收入</t>
  </si>
  <si>
    <t>3、调整预算数为2598万元，核减169万元，按2598-169=2429万元考核。</t>
  </si>
  <si>
    <t>2017年税务超收未计提经费</t>
  </si>
  <si>
    <t>财政征收</t>
  </si>
  <si>
    <t xml:space="preserve">            专项收入</t>
  </si>
  <si>
    <t>行政事业性收费收入</t>
  </si>
  <si>
    <t xml:space="preserve">           罚没收入</t>
  </si>
  <si>
    <t xml:space="preserve">           其他收入</t>
  </si>
  <si>
    <t>国有资源（资产）有偿使用收入</t>
  </si>
  <si>
    <t xml:space="preserve">     财政部门计提经费</t>
  </si>
  <si>
    <t>一般预算收入合计</t>
  </si>
  <si>
    <t>总计</t>
  </si>
  <si>
    <t>说明：1、按市政函【2011】116号文件要求进行测算。</t>
  </si>
  <si>
    <t xml:space="preserve">      2税务部门：（1）其他税收按实得净财力10%的比例计提征管经费；（2）耕地占用税按净财力5%计提征管经费。（3）奖励经费基数内（剔除征收经费）按4%安排，超收部分（剔除征收经费）按10%安排。</t>
  </si>
  <si>
    <t xml:space="preserve">      3、财政部门：（1）基数内非税收入净财力按3%计提工作经费，当年超基数的净财力增长部分按5%计提工作经费；（2）按地方征收收入总净财力的1%计提工作经费（2019年实际总净财力为23482万元）。</t>
  </si>
  <si>
    <t xml:space="preserve">      4、2019年地方财政收入实际完成数为37770万元，因烟草公司9-12月税源转移1069万元入经开区，市政府将该项税源划转数包含在内一并考核我区财政收入完成数，比上年增长7.2%。</t>
  </si>
  <si>
    <t>附表2</t>
  </si>
  <si>
    <t>大祥区2021年公务员津补贴、教师绩效工资和其他事业单位补助预算表</t>
  </si>
  <si>
    <t xml:space="preserve">单位 </t>
  </si>
  <si>
    <t>人数</t>
  </si>
  <si>
    <t>标准</t>
  </si>
  <si>
    <t>实际应发放金额</t>
  </si>
  <si>
    <t>在职</t>
  </si>
  <si>
    <t>退休</t>
  </si>
  <si>
    <t>离休</t>
  </si>
  <si>
    <t>一、公务员津补贴</t>
  </si>
  <si>
    <t>公务员（区机关）</t>
  </si>
  <si>
    <t>不在年初财政统发工资人员</t>
  </si>
  <si>
    <t>公务员（乡镇场办）</t>
  </si>
  <si>
    <t>二、全额事业单位绩效工资</t>
  </si>
  <si>
    <t>⑴中小学教育小计</t>
  </si>
  <si>
    <t>教育系统(在职100%部分）</t>
  </si>
  <si>
    <t>⑵基层医疗卫生小计</t>
  </si>
  <si>
    <t>乡镇卫生院</t>
  </si>
  <si>
    <t>区医院(公务员标准40%)</t>
  </si>
  <si>
    <t>⑶卫生及计生二级机构小计</t>
  </si>
  <si>
    <t>卫生及计生（在职100%部分）</t>
  </si>
  <si>
    <t>三、其他全额事业单位补助</t>
  </si>
  <si>
    <t>其他事业单位</t>
  </si>
  <si>
    <t>非义务教育阶段人员</t>
  </si>
  <si>
    <t>四、差额单位</t>
  </si>
  <si>
    <t>差额单位（公务员标准75%）</t>
  </si>
  <si>
    <t>退伍军人</t>
  </si>
  <si>
    <t>总    计</t>
  </si>
  <si>
    <t>说明：不在年初财政统发工资人员为人武部工勤人员津贴2.28万元，社保及失保所7.63万元。</t>
  </si>
  <si>
    <t>2014-2020年国债转贷及地方债券明细表</t>
  </si>
  <si>
    <t>年  度</t>
  </si>
  <si>
    <t>金额</t>
  </si>
  <si>
    <t>债券内容</t>
  </si>
  <si>
    <t>期  限</t>
  </si>
  <si>
    <t>还本付息</t>
  </si>
  <si>
    <t>本金</t>
  </si>
  <si>
    <t>利息</t>
  </si>
  <si>
    <t>70%利率</t>
  </si>
  <si>
    <t>30%利率</t>
  </si>
  <si>
    <t>50%利率</t>
  </si>
  <si>
    <t>说明</t>
  </si>
  <si>
    <t>创国卫</t>
  </si>
  <si>
    <t>40%三，40%五，20%七</t>
  </si>
  <si>
    <t>40%4.15,40%4.28,20%4.12。</t>
  </si>
  <si>
    <t>表一</t>
  </si>
  <si>
    <t>2021年财政综合收入对比表</t>
  </si>
  <si>
    <t>项   目</t>
  </si>
  <si>
    <t>2020预算</t>
  </si>
  <si>
    <t>2020年调整预算</t>
  </si>
  <si>
    <t>2020决算</t>
  </si>
  <si>
    <t>2021预算</t>
  </si>
  <si>
    <t>2020年末决算与调整预算对比增减（+/-）</t>
  </si>
  <si>
    <t>一般预算收入</t>
  </si>
  <si>
    <t>省管县体制改革返还性收入及其他税收返还</t>
  </si>
  <si>
    <t>2017年共计2603万元，其中：2010年省定增值税营业税基数返还1020万元，2013年城镇土地使用税基数返还128万元，营改增体制调整2016年税收返还1455万元。</t>
  </si>
  <si>
    <t>均衡性转移支付收入小计</t>
  </si>
  <si>
    <t>一般转移性支付收入及县级基本财力保障体制奖补收入</t>
  </si>
  <si>
    <t>其中：基数</t>
  </si>
  <si>
    <t>均衡性转移支付</t>
  </si>
  <si>
    <t>县级保障财力</t>
  </si>
  <si>
    <t>增量</t>
  </si>
  <si>
    <t>（剔减10万元）</t>
  </si>
  <si>
    <t>企业事业单位划转补助收入</t>
  </si>
  <si>
    <t>上级补助收入维修经费</t>
  </si>
  <si>
    <t>义务教育免杂费</t>
  </si>
  <si>
    <t>市补助小计</t>
  </si>
  <si>
    <t>市与三区体制调整补助</t>
  </si>
  <si>
    <t>接收市下放子弟学校补助</t>
  </si>
  <si>
    <t>市三区定额财力补助</t>
  </si>
  <si>
    <t>三区税源转移划转</t>
  </si>
  <si>
    <t>其他各项补助小计</t>
  </si>
  <si>
    <t>体制补助</t>
  </si>
  <si>
    <t>调整工资转移支付收入</t>
  </si>
  <si>
    <t>定额补助收入</t>
  </si>
  <si>
    <t>农村税费改补助收入</t>
  </si>
  <si>
    <t>教师绩效工资补助收入</t>
  </si>
  <si>
    <t>村级运转经费</t>
  </si>
  <si>
    <t>109、27、26、54</t>
  </si>
  <si>
    <t>火车南站管理区基数下放</t>
  </si>
  <si>
    <t>下放基数526万元，19万元转移支付。</t>
  </si>
  <si>
    <t>环卫清扫补助</t>
  </si>
  <si>
    <t>专项指标</t>
  </si>
  <si>
    <t>社区补助</t>
  </si>
  <si>
    <t>专项指标480、69</t>
  </si>
  <si>
    <t>机关事业单位养老保险基金补助</t>
  </si>
  <si>
    <t>基本医疗补助及公共卫生绩效补助</t>
  </si>
  <si>
    <t>公共卫生与基层医疗卫生事业单位绩效工资（基数）54万元；</t>
  </si>
  <si>
    <t>市属单位人员下放补助</t>
  </si>
  <si>
    <t>市工商划转食品药品人员补助130万元，城管162万元，河道占道13万元，殡葬大队47万元，市工商下放基数1252万元。</t>
  </si>
  <si>
    <t>耕地占用税</t>
  </si>
  <si>
    <t>单列的各项补助小计</t>
  </si>
  <si>
    <t>卫生院结算补助</t>
  </si>
  <si>
    <t>特殊转移支付</t>
  </si>
  <si>
    <t>上级补助收入合计</t>
  </si>
  <si>
    <t>上年净结余及与市结算补助</t>
  </si>
  <si>
    <t>稳定调节基金及存量资金盘活</t>
  </si>
  <si>
    <t>上级债券收入</t>
  </si>
  <si>
    <t>财政综合收入总计</t>
  </si>
  <si>
    <t>2020年财政综合收入对比表</t>
  </si>
  <si>
    <t>2019预算</t>
  </si>
  <si>
    <t>2019年调整预算</t>
  </si>
  <si>
    <t>2019决算</t>
  </si>
  <si>
    <t>2019年末决算与调整预算对比增减（+/-）</t>
  </si>
  <si>
    <t>（剔减10万元），增量资金6927-500（绩效扣款）-10（机动财力）=6417万元</t>
  </si>
  <si>
    <t>公共卫生与基层医疗卫生事业单位绩效工资（基数）54万元。</t>
  </si>
  <si>
    <t>市工商划转食品药品人员补助130万元，城管162万元，河道占道13万元，殡葬大队47万元。</t>
  </si>
  <si>
    <t>当年结算补助预计财力</t>
  </si>
  <si>
    <t>调整预算结算补助441万元中的。</t>
  </si>
  <si>
    <t>调整预算数为2779万元，其中441万元=339+102，摆入市属单位下放人员补助339，当年结算补助预计财力102万元，2338=2779-339-102。</t>
  </si>
  <si>
    <t>减：2019年上解支出缺口</t>
  </si>
  <si>
    <t>缺口3268万元=2019年结算上解支出（3782）-年初预算安排（514）</t>
  </si>
  <si>
    <t>财政实际缺口</t>
  </si>
  <si>
    <t>2020年与2021年人员支出对比表</t>
  </si>
  <si>
    <t>项目</t>
  </si>
  <si>
    <t>增减（+/-）</t>
  </si>
  <si>
    <t>在职工资小计</t>
  </si>
  <si>
    <t>区直机关</t>
  </si>
  <si>
    <t>乡镇场办</t>
  </si>
  <si>
    <t>卫生院其他人员支出</t>
  </si>
  <si>
    <t>临聘人员工资191万，聘用医师27万，加班补助71万，公卫生人员工作经费30万元，社区医疗补助及工资100万（其中：302万元列入卫计局项目经费），增加绩效工资及公用经费等38万元。</t>
  </si>
  <si>
    <t>退休工资小计</t>
  </si>
  <si>
    <t>区直机关退休工资</t>
  </si>
  <si>
    <t>2835431元/月。</t>
  </si>
  <si>
    <t>民政代管</t>
  </si>
  <si>
    <t>10949元/月</t>
  </si>
  <si>
    <t>奖励工资</t>
  </si>
  <si>
    <t>绩效文明考核工资</t>
  </si>
  <si>
    <t>增加乡镇10%，乡镇公务员45人，事业人员122人。</t>
  </si>
  <si>
    <t>教育其他支出</t>
  </si>
  <si>
    <t>教育共650元，剔减388万元代课老师人员经费、55.2万元入死亡抚恤和长期代课老师医保20.24万元。</t>
  </si>
  <si>
    <t>失业保险金</t>
  </si>
  <si>
    <t>乡、办7.23万，卫生院2.64万。</t>
  </si>
  <si>
    <t>畜牧局</t>
  </si>
  <si>
    <t>临聘人员17</t>
  </si>
  <si>
    <t>水利局</t>
  </si>
  <si>
    <t>建国初期退休人员补贴及医药费</t>
  </si>
  <si>
    <t>其中：3人13月工资0.29万元。</t>
  </si>
  <si>
    <t>火车南站税费改革</t>
  </si>
  <si>
    <t>火车南站工作经费</t>
  </si>
  <si>
    <t>畜牧局维稳经费</t>
  </si>
  <si>
    <t>张明德、姚少晴</t>
  </si>
  <si>
    <t>火车南站</t>
  </si>
  <si>
    <t>=1.38+2.48+1.92</t>
  </si>
  <si>
    <t>实际安排1.16万元，结余0.76万元</t>
  </si>
  <si>
    <t>种子公司医保及养老保险</t>
  </si>
  <si>
    <t>市场管理办</t>
  </si>
  <si>
    <t>2017年新增社区人员补助</t>
  </si>
  <si>
    <t>卫生院养老保险、医疗保险、生育保险</t>
  </si>
  <si>
    <t>=103.4+44.64</t>
  </si>
  <si>
    <t>下乡补贴</t>
  </si>
  <si>
    <t>共561人，其中：公务员45人，乡镇事业人员127人（动物防疫人员5人），医卫50人，乡村老师330人，司法所3人*3个=9人。人均提高20%。</t>
  </si>
  <si>
    <t>=460400+57800</t>
  </si>
  <si>
    <t>年初预算合计</t>
  </si>
  <si>
    <t>核减</t>
  </si>
  <si>
    <t>增加</t>
  </si>
  <si>
    <t>2021年大祥区综合财政预算单位基数表</t>
  </si>
  <si>
    <t>基本情况</t>
  </si>
  <si>
    <t>养老保险（16%）</t>
  </si>
  <si>
    <t>职业年金(8%)</t>
  </si>
  <si>
    <t>公务员医疗补助（5%）</t>
  </si>
  <si>
    <t>生育保险（0.5%）</t>
  </si>
  <si>
    <t>城镇职工医疗保险配套（8%）</t>
  </si>
  <si>
    <t>失业保险（0.7%）</t>
  </si>
  <si>
    <t>工伤保险（1%、1.4%）</t>
  </si>
  <si>
    <t>住房公积金（12%）</t>
  </si>
  <si>
    <t>大病互助（75元）</t>
  </si>
  <si>
    <t>工会经费(2%)</t>
  </si>
  <si>
    <t>及</t>
  </si>
  <si>
    <t>单位</t>
  </si>
  <si>
    <t>月工资</t>
  </si>
  <si>
    <t>年工资</t>
  </si>
  <si>
    <t>月津补贴</t>
  </si>
  <si>
    <t>年津补贴</t>
  </si>
  <si>
    <t>区委办</t>
  </si>
  <si>
    <t>人大办</t>
  </si>
  <si>
    <t>政府办</t>
  </si>
  <si>
    <t>政协办</t>
  </si>
  <si>
    <t>纪委</t>
  </si>
  <si>
    <t>组织部</t>
  </si>
  <si>
    <t>宣传部</t>
  </si>
  <si>
    <t>统战部</t>
  </si>
  <si>
    <t>政法委</t>
  </si>
  <si>
    <t>大祥工业管委会</t>
  </si>
  <si>
    <t>发改局</t>
  </si>
  <si>
    <t>财政局</t>
  </si>
  <si>
    <t>审计局</t>
  </si>
  <si>
    <t>司法局</t>
  </si>
  <si>
    <t>编办</t>
  </si>
  <si>
    <t>党校</t>
  </si>
  <si>
    <t>妇联</t>
  </si>
  <si>
    <t>总工会</t>
  </si>
  <si>
    <t>工商联</t>
  </si>
  <si>
    <t>信访矛调局</t>
  </si>
  <si>
    <t>政务服务中心</t>
  </si>
  <si>
    <t>团委</t>
  </si>
  <si>
    <t>区巡察办</t>
  </si>
  <si>
    <t>区网信办</t>
  </si>
  <si>
    <t>区市场监管局</t>
  </si>
  <si>
    <t>行政审批服务局</t>
  </si>
  <si>
    <t>统计局</t>
  </si>
  <si>
    <t>行政政法小计</t>
  </si>
  <si>
    <t>教育局机关</t>
  </si>
  <si>
    <t>文旅广电体局</t>
  </si>
  <si>
    <t>教科文小计</t>
  </si>
  <si>
    <t>民政局</t>
  </si>
  <si>
    <t>区退役军人事务局</t>
  </si>
  <si>
    <t>低收入家庭认定中心</t>
  </si>
  <si>
    <t>卫生健康局</t>
  </si>
  <si>
    <t>卫计综合监督执法局</t>
  </si>
  <si>
    <t>区医院</t>
  </si>
  <si>
    <t>人事劳动和社会保障局</t>
  </si>
  <si>
    <t>劳动监察大队</t>
  </si>
  <si>
    <t>失业保险服务中心</t>
  </si>
  <si>
    <t>医保局</t>
  </si>
  <si>
    <t>医保事务中心</t>
  </si>
  <si>
    <t>就业服务中心</t>
  </si>
  <si>
    <t>养老保险服务中心</t>
  </si>
  <si>
    <t>残疾人联合会</t>
  </si>
  <si>
    <t>城乡居民医保管理中心</t>
  </si>
  <si>
    <t>社保小计</t>
  </si>
  <si>
    <t>城市管理和综合执法局</t>
  </si>
  <si>
    <t>科技和工业信息化局</t>
  </si>
  <si>
    <t>住房和城乡建设局</t>
  </si>
  <si>
    <t>供销社</t>
  </si>
  <si>
    <t>交通局</t>
  </si>
  <si>
    <r>
      <rPr>
        <sz val="10"/>
        <rFont val="宋体"/>
        <charset val="134"/>
      </rPr>
      <t>商务局</t>
    </r>
    <r>
      <rPr>
        <sz val="10"/>
        <rFont val="Times New Roman"/>
        <family val="1"/>
      </rPr>
      <t xml:space="preserve"> </t>
    </r>
  </si>
  <si>
    <t>蔡锷故居管理局</t>
  </si>
  <si>
    <t>自然资源局</t>
  </si>
  <si>
    <t>应急管理局</t>
  </si>
  <si>
    <t>经建小计</t>
  </si>
  <si>
    <t>农业农村局</t>
  </si>
  <si>
    <t>农业科技园区管委会</t>
  </si>
  <si>
    <t>农业小计</t>
  </si>
  <si>
    <t>区直机关合计</t>
  </si>
  <si>
    <t>罗市镇</t>
  </si>
  <si>
    <t>蔡锷乡</t>
  </si>
  <si>
    <t>板桥乡</t>
  </si>
  <si>
    <t>中心街道办</t>
  </si>
  <si>
    <t>红旗街道办</t>
  </si>
  <si>
    <t>城北街道办</t>
  </si>
  <si>
    <t>城西街道办</t>
  </si>
  <si>
    <t>百春园街道办</t>
  </si>
  <si>
    <t>翠园街道办</t>
  </si>
  <si>
    <t>雨溪街道办</t>
  </si>
  <si>
    <t>檀江街道办</t>
  </si>
  <si>
    <t>城南街道办</t>
  </si>
  <si>
    <t>学院路街道办</t>
  </si>
  <si>
    <t>火车南站街道办</t>
  </si>
  <si>
    <t>乡、办小计</t>
  </si>
  <si>
    <t>其他人员小计（人武部工勤1社保1就业局3）</t>
  </si>
  <si>
    <t>公务员合计</t>
  </si>
  <si>
    <t>教育所属学校</t>
  </si>
  <si>
    <t>教育系统小计</t>
  </si>
  <si>
    <t xml:space="preserve">    流动人口管理站</t>
  </si>
  <si>
    <t xml:space="preserve">    疾病预防控制中心</t>
  </si>
  <si>
    <t xml:space="preserve">    妇幼保健计划生育服务中心</t>
  </si>
  <si>
    <t>计生及卫生小计</t>
  </si>
  <si>
    <t xml:space="preserve">    乡卫生院</t>
  </si>
  <si>
    <t>临聘人员养老保险24.24万元，</t>
  </si>
  <si>
    <t>基层卫生机构小计</t>
  </si>
  <si>
    <t>建筑工程管理站</t>
  </si>
  <si>
    <t>城管局事业编</t>
  </si>
  <si>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军粮供应站</t>
    </r>
  </si>
  <si>
    <t>商粮局事业编</t>
  </si>
  <si>
    <t>自然资源局事业编</t>
  </si>
  <si>
    <t>人大办（电子信息化站）</t>
  </si>
  <si>
    <t>区政府办（金融办）</t>
  </si>
  <si>
    <t>融媒体中心</t>
  </si>
  <si>
    <t>政法委（戒毒康复中心）</t>
  </si>
  <si>
    <t>网信办（网络服务中心）</t>
  </si>
  <si>
    <t>财政事务中心</t>
  </si>
  <si>
    <t>党史办</t>
  </si>
  <si>
    <t>应急管理局（安全执法大队）</t>
  </si>
  <si>
    <t>发改局（重点项目建设办）</t>
  </si>
  <si>
    <t>统计局（城乡经济调查队）</t>
  </si>
  <si>
    <t>法律援助中心</t>
  </si>
  <si>
    <t>信访矛调局(信访接待中心）</t>
  </si>
  <si>
    <t>区征地和房屋征收办</t>
  </si>
  <si>
    <t>事务服务中心</t>
  </si>
  <si>
    <t>教育局（基教室俭学办电教站）</t>
  </si>
  <si>
    <t>文体局（全民健身活动指导中心）</t>
  </si>
  <si>
    <t>文化馆</t>
  </si>
  <si>
    <t>人才交流中心</t>
  </si>
  <si>
    <t>区市监局</t>
  </si>
  <si>
    <t>民政事业编制人员</t>
  </si>
  <si>
    <t>区退役军人事务局事业编制人员</t>
  </si>
  <si>
    <t>农机局</t>
  </si>
  <si>
    <t>畜牧水产局</t>
  </si>
  <si>
    <t>动物防疫站</t>
  </si>
  <si>
    <t>经营服务站</t>
  </si>
  <si>
    <t>能源服务站</t>
  </si>
  <si>
    <t>东风泵站</t>
  </si>
  <si>
    <t>火车南站社区</t>
  </si>
  <si>
    <t>其他事业单位小计</t>
  </si>
  <si>
    <t>刑释解教安置帮教工作管理站(75%)</t>
  </si>
  <si>
    <t>区医院(40%)</t>
  </si>
  <si>
    <t>市场管理中心(75%)</t>
  </si>
  <si>
    <t>东风泵站(75%)</t>
  </si>
  <si>
    <t>差额单位小计</t>
  </si>
  <si>
    <t>卫生临聘人员</t>
  </si>
  <si>
    <t>2021年公共财政预算平衡总表（草案）</t>
    <phoneticPr fontId="59" type="noConversion"/>
  </si>
  <si>
    <t>2021年公共财政预算地方收入预计表</t>
    <phoneticPr fontId="59" type="noConversion"/>
  </si>
  <si>
    <r>
      <t xml:space="preserve"> </t>
    </r>
    <r>
      <rPr>
        <b/>
        <sz val="12"/>
        <color indexed="8"/>
        <rFont val="宋体"/>
        <family val="3"/>
        <charset val="134"/>
      </rPr>
      <t xml:space="preserve">    </t>
    </r>
    <r>
      <rPr>
        <b/>
        <sz val="12"/>
        <color indexed="8"/>
        <rFont val="宋体"/>
        <charset val="134"/>
      </rPr>
      <t>附表2-1</t>
    </r>
    <phoneticPr fontId="59" type="noConversion"/>
  </si>
  <si>
    <t xml:space="preserve">         附表2-2</t>
    <phoneticPr fontId="59" type="noConversion"/>
  </si>
  <si>
    <r>
      <t xml:space="preserve">   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charset val="134"/>
      </rPr>
      <t>附表3</t>
    </r>
    <phoneticPr fontId="17" type="noConversion"/>
  </si>
  <si>
    <r>
      <t xml:space="preserve"> </t>
    </r>
    <r>
      <rPr>
        <sz val="12"/>
        <color indexed="8"/>
        <rFont val="宋体"/>
        <family val="3"/>
        <charset val="134"/>
      </rPr>
      <t xml:space="preserve">      </t>
    </r>
    <r>
      <rPr>
        <sz val="12"/>
        <color indexed="8"/>
        <rFont val="宋体"/>
        <charset val="134"/>
      </rPr>
      <t>附表4</t>
    </r>
    <phoneticPr fontId="59" type="noConversion"/>
  </si>
</sst>
</file>

<file path=xl/styles.xml><?xml version="1.0" encoding="utf-8"?>
<styleSheet xmlns="http://schemas.openxmlformats.org/spreadsheetml/2006/main">
  <numFmts count="18">
    <numFmt numFmtId="177" formatCode="0&quot; &quot;;\(0\)"/>
    <numFmt numFmtId="179" formatCode="0;__xd800_"/>
    <numFmt numFmtId="180" formatCode="0;_栀"/>
    <numFmt numFmtId="181" formatCode="#,##0_ "/>
    <numFmt numFmtId="182" formatCode="0_ "/>
    <numFmt numFmtId="183" formatCode="0.00_);\(0.00\)"/>
    <numFmt numFmtId="184" formatCode="0_);\(0\)"/>
    <numFmt numFmtId="185" formatCode="0.00_);[Red]\(0.00\)"/>
    <numFmt numFmtId="186" formatCode="0_);[Red]\(0\)"/>
    <numFmt numFmtId="187" formatCode="0;_鰀"/>
    <numFmt numFmtId="188" formatCode="0.00_ "/>
    <numFmt numFmtId="189" formatCode="0;_ "/>
    <numFmt numFmtId="190" formatCode="#,##0.00&quot; &quot;"/>
    <numFmt numFmtId="191" formatCode="0.00&quot; &quot;;\(0.00\)"/>
    <numFmt numFmtId="192" formatCode="0&quot; &quot;"/>
    <numFmt numFmtId="193" formatCode="0.0%"/>
    <numFmt numFmtId="194" formatCode="0;__xdc00_"/>
    <numFmt numFmtId="195" formatCode="[$-F800]dddd\,\ mmmm\ dd\,\ yyyy"/>
  </numFmts>
  <fonts count="66">
    <font>
      <sz val="12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10"/>
      <name val="Times New Roman"/>
      <family val="1"/>
    </font>
    <font>
      <sz val="8"/>
      <name val="Times New Roman"/>
      <family val="1"/>
    </font>
    <font>
      <sz val="8"/>
      <name val="宋体"/>
      <charset val="134"/>
    </font>
    <font>
      <sz val="8"/>
      <color indexed="10"/>
      <name val="宋体"/>
      <charset val="134"/>
    </font>
    <font>
      <sz val="10"/>
      <color indexed="10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8"/>
      <name val="宋体"/>
      <charset val="134"/>
    </font>
    <font>
      <b/>
      <sz val="18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color indexed="12"/>
      <name val="宋体"/>
      <charset val="134"/>
    </font>
    <font>
      <b/>
      <sz val="8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楷体_GB2312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2"/>
      <name val="黑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8"/>
      <name val="黑体"/>
      <charset val="134"/>
    </font>
    <font>
      <b/>
      <sz val="12"/>
      <color indexed="8"/>
      <name val="宋体"/>
      <charset val="134"/>
    </font>
    <font>
      <sz val="16"/>
      <color indexed="8"/>
      <name val="仿宋_GB2312"/>
      <charset val="134"/>
    </font>
    <font>
      <b/>
      <sz val="14"/>
      <color indexed="8"/>
      <name val="宋体"/>
      <charset val="134"/>
    </font>
    <font>
      <sz val="10"/>
      <name val="SimSun"/>
      <charset val="134"/>
    </font>
    <font>
      <b/>
      <sz val="10"/>
      <color indexed="8"/>
      <name val="宋体"/>
      <charset val="134"/>
    </font>
    <font>
      <b/>
      <sz val="16"/>
      <color indexed="8"/>
      <name val="仿宋_GB2312"/>
      <charset val="134"/>
    </font>
    <font>
      <sz val="18"/>
      <color indexed="8"/>
      <name val="黑体"/>
      <charset val="134"/>
    </font>
    <font>
      <sz val="11"/>
      <color indexed="8"/>
      <name val="仿宋_GB2312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22"/>
      <name val="宋体"/>
      <charset val="134"/>
    </font>
    <font>
      <sz val="16"/>
      <name val="仿宋_GB2312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2"/>
      <name val="黑体"/>
      <charset val="134"/>
    </font>
    <font>
      <sz val="10.5"/>
      <name val="宋体"/>
      <charset val="134"/>
    </font>
    <font>
      <b/>
      <sz val="16"/>
      <name val="仿宋_GB2312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8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sz val="20"/>
      <color indexed="8"/>
      <name val="黑体"/>
      <family val="3"/>
      <charset val="134"/>
    </font>
    <font>
      <b/>
      <sz val="16"/>
      <color indexed="8"/>
      <name val="仿宋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2"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7" fillId="0" borderId="0"/>
    <xf numFmtId="0" fontId="58" fillId="0" borderId="0">
      <alignment vertical="center"/>
    </xf>
    <xf numFmtId="0" fontId="58" fillId="0" borderId="0"/>
  </cellStyleXfs>
  <cellXfs count="50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1" fontId="6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81" fontId="6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81" fontId="8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82" fontId="8" fillId="0" borderId="2" xfId="0" applyNumberFormat="1" applyFont="1" applyFill="1" applyBorder="1" applyAlignment="1">
      <alignment horizontal="center" vertical="center" wrapText="1"/>
    </xf>
    <xf numFmtId="182" fontId="8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2" borderId="0" xfId="0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8" fillId="0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7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182" fontId="15" fillId="2" borderId="2" xfId="0" applyNumberFormat="1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8" fillId="4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13" fillId="4" borderId="2" xfId="0" applyFont="1" applyFill="1" applyBorder="1" applyAlignment="1">
      <alignment horizontal="left" vertical="center" wrapText="1"/>
    </xf>
    <xf numFmtId="181" fontId="8" fillId="3" borderId="2" xfId="0" applyNumberFormat="1" applyFont="1" applyFill="1" applyBorder="1" applyAlignment="1">
      <alignment horizontal="center" vertical="center"/>
    </xf>
    <xf numFmtId="181" fontId="13" fillId="0" borderId="0" xfId="0" applyNumberFormat="1" applyFont="1">
      <alignment vertical="center"/>
    </xf>
    <xf numFmtId="0" fontId="8" fillId="3" borderId="2" xfId="0" applyFont="1" applyFill="1" applyBorder="1" applyAlignment="1">
      <alignment horizontal="center" vertical="center"/>
    </xf>
    <xf numFmtId="182" fontId="8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>
      <alignment vertical="center"/>
    </xf>
    <xf numFmtId="0" fontId="21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left" vertical="center"/>
    </xf>
    <xf numFmtId="0" fontId="21" fillId="3" borderId="2" xfId="0" applyFont="1" applyFill="1" applyBorder="1">
      <alignment vertical="center"/>
    </xf>
    <xf numFmtId="0" fontId="21" fillId="0" borderId="2" xfId="0" applyFont="1" applyBorder="1">
      <alignment vertical="center"/>
    </xf>
    <xf numFmtId="0" fontId="8" fillId="0" borderId="0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82" fontId="20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22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1" fillId="3" borderId="2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3" fillId="3" borderId="2" xfId="0" applyFont="1" applyFill="1" applyBorder="1" applyAlignment="1">
      <alignment vertical="center" wrapText="1"/>
    </xf>
    <xf numFmtId="0" fontId="0" fillId="3" borderId="2" xfId="0" applyFill="1" applyBorder="1">
      <alignment vertical="center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8" fillId="5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83" fontId="6" fillId="0" borderId="2" xfId="0" applyNumberFormat="1" applyFont="1" applyBorder="1" applyAlignment="1">
      <alignment horizontal="center" wrapText="1"/>
    </xf>
    <xf numFmtId="184" fontId="8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8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6" fillId="0" borderId="2" xfId="0" applyNumberFormat="1" applyFont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left" vertical="center" wrapText="1"/>
    </xf>
    <xf numFmtId="9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31" fontId="0" fillId="0" borderId="5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center" vertical="center" wrapText="1"/>
    </xf>
    <xf numFmtId="185" fontId="22" fillId="6" borderId="2" xfId="0" applyNumberFormat="1" applyFont="1" applyFill="1" applyBorder="1" applyAlignment="1">
      <alignment horizontal="center" vertical="center" wrapText="1"/>
    </xf>
    <xf numFmtId="186" fontId="7" fillId="3" borderId="2" xfId="0" applyNumberFormat="1" applyFont="1" applyFill="1" applyBorder="1" applyAlignment="1">
      <alignment horizontal="center" vertical="center" wrapText="1"/>
    </xf>
    <xf numFmtId="185" fontId="7" fillId="3" borderId="2" xfId="0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/>
    </xf>
    <xf numFmtId="187" fontId="7" fillId="3" borderId="2" xfId="0" applyNumberFormat="1" applyFont="1" applyFill="1" applyBorder="1" applyAlignment="1">
      <alignment horizontal="center" vertical="center"/>
    </xf>
    <xf numFmtId="185" fontId="7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2" fillId="6" borderId="2" xfId="0" applyFont="1" applyFill="1" applyBorder="1" applyAlignment="1">
      <alignment horizontal="center" vertical="center"/>
    </xf>
    <xf numFmtId="185" fontId="22" fillId="6" borderId="2" xfId="0" applyNumberFormat="1" applyFont="1" applyFill="1" applyBorder="1" applyAlignment="1">
      <alignment horizontal="center" vertical="center"/>
    </xf>
    <xf numFmtId="188" fontId="29" fillId="3" borderId="2" xfId="0" applyNumberFormat="1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 vertical="center"/>
    </xf>
    <xf numFmtId="188" fontId="31" fillId="2" borderId="2" xfId="0" applyNumberFormat="1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center" vertical="center"/>
    </xf>
    <xf numFmtId="185" fontId="30" fillId="3" borderId="2" xfId="0" applyNumberFormat="1" applyFont="1" applyFill="1" applyBorder="1" applyAlignment="1">
      <alignment horizontal="center" vertical="center"/>
    </xf>
    <xf numFmtId="186" fontId="30" fillId="3" borderId="2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/>
    </xf>
    <xf numFmtId="186" fontId="32" fillId="6" borderId="2" xfId="0" applyNumberFormat="1" applyFont="1" applyFill="1" applyBorder="1" applyAlignment="1">
      <alignment horizontal="center" vertical="center"/>
    </xf>
    <xf numFmtId="186" fontId="30" fillId="6" borderId="2" xfId="0" applyNumberFormat="1" applyFont="1" applyFill="1" applyBorder="1" applyAlignment="1">
      <alignment horizontal="center" vertical="center"/>
    </xf>
    <xf numFmtId="186" fontId="7" fillId="3" borderId="2" xfId="0" applyNumberFormat="1" applyFont="1" applyFill="1" applyBorder="1" applyAlignment="1">
      <alignment horizontal="center" vertical="center"/>
    </xf>
    <xf numFmtId="185" fontId="32" fillId="6" borderId="2" xfId="0" applyNumberFormat="1" applyFont="1" applyFill="1" applyBorder="1" applyAlignment="1">
      <alignment horizontal="center" vertical="center"/>
    </xf>
    <xf numFmtId="182" fontId="7" fillId="3" borderId="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8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8" fontId="0" fillId="0" borderId="0" xfId="0" applyNumberFormat="1">
      <alignment vertical="center"/>
    </xf>
    <xf numFmtId="31" fontId="6" fillId="0" borderId="5" xfId="0" applyNumberFormat="1" applyFont="1" applyBorder="1" applyAlignment="1">
      <alignment horizontal="right"/>
    </xf>
    <xf numFmtId="188" fontId="0" fillId="2" borderId="0" xfId="0" applyNumberFormat="1" applyFont="1" applyFill="1">
      <alignment vertical="center"/>
    </xf>
    <xf numFmtId="0" fontId="34" fillId="2" borderId="0" xfId="0" applyFont="1" applyFill="1">
      <alignment vertical="center"/>
    </xf>
    <xf numFmtId="0" fontId="36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 applyProtection="1">
      <alignment vertical="center"/>
    </xf>
    <xf numFmtId="0" fontId="23" fillId="2" borderId="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wrapText="1"/>
    </xf>
    <xf numFmtId="184" fontId="23" fillId="2" borderId="2" xfId="0" applyNumberFormat="1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right"/>
    </xf>
    <xf numFmtId="0" fontId="18" fillId="2" borderId="2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184" fontId="18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186" fontId="18" fillId="2" borderId="2" xfId="0" applyNumberFormat="1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left"/>
    </xf>
    <xf numFmtId="0" fontId="36" fillId="2" borderId="2" xfId="0" applyNumberFormat="1" applyFont="1" applyFill="1" applyBorder="1" applyAlignment="1" applyProtection="1">
      <alignment horizontal="right" vertical="center"/>
    </xf>
    <xf numFmtId="0" fontId="36" fillId="2" borderId="2" xfId="0" applyNumberFormat="1" applyFont="1" applyFill="1" applyBorder="1" applyAlignment="1" applyProtection="1">
      <alignment horizontal="right" vertical="center" wrapText="1"/>
    </xf>
    <xf numFmtId="0" fontId="36" fillId="2" borderId="13" xfId="0" applyNumberFormat="1" applyFont="1" applyFill="1" applyBorder="1" applyAlignment="1" applyProtection="1">
      <alignment horizontal="right" vertical="center" wrapText="1"/>
    </xf>
    <xf numFmtId="0" fontId="18" fillId="2" borderId="14" xfId="0" applyFont="1" applyFill="1" applyBorder="1" applyAlignment="1">
      <alignment horizontal="center" wrapText="1"/>
    </xf>
    <xf numFmtId="0" fontId="36" fillId="2" borderId="10" xfId="0" applyNumberFormat="1" applyFont="1" applyFill="1" applyBorder="1" applyAlignment="1" applyProtection="1">
      <alignment horizontal="right" vertical="center" wrapText="1"/>
    </xf>
    <xf numFmtId="0" fontId="18" fillId="2" borderId="15" xfId="0" applyFont="1" applyFill="1" applyBorder="1" applyAlignment="1">
      <alignment horizontal="center" wrapText="1"/>
    </xf>
    <xf numFmtId="0" fontId="36" fillId="2" borderId="7" xfId="0" applyNumberFormat="1" applyFont="1" applyFill="1" applyBorder="1" applyAlignment="1" applyProtection="1">
      <alignment horizontal="right" vertical="center" wrapText="1"/>
    </xf>
    <xf numFmtId="0" fontId="18" fillId="2" borderId="16" xfId="0" applyFont="1" applyFill="1" applyBorder="1" applyAlignment="1">
      <alignment horizontal="center" wrapText="1"/>
    </xf>
    <xf numFmtId="0" fontId="19" fillId="2" borderId="2" xfId="0" applyNumberFormat="1" applyFont="1" applyFill="1" applyBorder="1" applyAlignment="1" applyProtection="1">
      <alignment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182" fontId="23" fillId="2" borderId="2" xfId="0" applyNumberFormat="1" applyFont="1" applyFill="1" applyBorder="1" applyAlignment="1">
      <alignment horizontal="center" wrapText="1"/>
    </xf>
    <xf numFmtId="189" fontId="23" fillId="2" borderId="2" xfId="0" applyNumberFormat="1" applyFont="1" applyFill="1" applyBorder="1" applyAlignment="1">
      <alignment horizontal="center" wrapText="1"/>
    </xf>
    <xf numFmtId="189" fontId="23" fillId="2" borderId="10" xfId="0" applyNumberFormat="1" applyFont="1" applyFill="1" applyBorder="1" applyAlignment="1">
      <alignment horizontal="center" wrapText="1"/>
    </xf>
    <xf numFmtId="186" fontId="23" fillId="2" borderId="10" xfId="0" applyNumberFormat="1" applyFont="1" applyFill="1" applyBorder="1" applyAlignment="1">
      <alignment horizontal="center" wrapText="1"/>
    </xf>
    <xf numFmtId="182" fontId="18" fillId="2" borderId="2" xfId="0" applyNumberFormat="1" applyFont="1" applyFill="1" applyBorder="1" applyAlignment="1">
      <alignment horizontal="center" wrapText="1"/>
    </xf>
    <xf numFmtId="189" fontId="18" fillId="2" borderId="2" xfId="0" applyNumberFormat="1" applyFont="1" applyFill="1" applyBorder="1" applyAlignment="1">
      <alignment horizontal="center" wrapText="1"/>
    </xf>
    <xf numFmtId="179" fontId="18" fillId="2" borderId="10" xfId="0" applyNumberFormat="1" applyFont="1" applyFill="1" applyBorder="1" applyAlignment="1">
      <alignment horizontal="center" wrapText="1"/>
    </xf>
    <xf numFmtId="182" fontId="18" fillId="2" borderId="10" xfId="0" applyNumberFormat="1" applyFont="1" applyFill="1" applyBorder="1" applyAlignment="1">
      <alignment horizontal="center" wrapText="1"/>
    </xf>
    <xf numFmtId="0" fontId="18" fillId="2" borderId="10" xfId="0" applyFont="1" applyFill="1" applyBorder="1" applyAlignment="1">
      <alignment horizontal="center" wrapText="1"/>
    </xf>
    <xf numFmtId="0" fontId="31" fillId="0" borderId="0" xfId="0" applyNumberFormat="1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vertical="center"/>
    </xf>
    <xf numFmtId="0" fontId="31" fillId="0" borderId="0" xfId="0" applyNumberFormat="1" applyFont="1" applyFill="1" applyAlignment="1">
      <alignment vertical="center"/>
    </xf>
    <xf numFmtId="0" fontId="31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vertical="center"/>
    </xf>
    <xf numFmtId="49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right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center" vertical="center" wrapText="1"/>
    </xf>
    <xf numFmtId="49" fontId="22" fillId="0" borderId="17" xfId="19" applyNumberFormat="1" applyFont="1" applyFill="1" applyBorder="1" applyAlignment="1" applyProtection="1">
      <alignment horizontal="center" vertical="center" wrapText="1"/>
    </xf>
    <xf numFmtId="190" fontId="31" fillId="0" borderId="2" xfId="0" applyNumberFormat="1" applyFont="1" applyFill="1" applyBorder="1" applyAlignment="1">
      <alignment horizontal="center" vertical="center" wrapText="1"/>
    </xf>
    <xf numFmtId="190" fontId="3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wrapText="1"/>
    </xf>
    <xf numFmtId="0" fontId="22" fillId="0" borderId="17" xfId="0" applyFont="1" applyFill="1" applyBorder="1" applyAlignment="1">
      <alignment horizontal="center" vertical="center"/>
    </xf>
    <xf numFmtId="190" fontId="31" fillId="0" borderId="18" xfId="0" applyNumberFormat="1" applyFont="1" applyFill="1" applyBorder="1" applyAlignment="1">
      <alignment horizontal="center" vertical="center" wrapText="1"/>
    </xf>
    <xf numFmtId="190" fontId="31" fillId="0" borderId="18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wrapText="1"/>
    </xf>
    <xf numFmtId="191" fontId="31" fillId="0" borderId="17" xfId="0" applyNumberFormat="1" applyFont="1" applyFill="1" applyBorder="1" applyAlignment="1">
      <alignment horizontal="center" vertical="center"/>
    </xf>
    <xf numFmtId="190" fontId="31" fillId="0" borderId="17" xfId="0" applyNumberFormat="1" applyFont="1" applyFill="1" applyBorder="1" applyAlignment="1">
      <alignment horizontal="center" vertical="center" wrapText="1"/>
    </xf>
    <xf numFmtId="190" fontId="31" fillId="0" borderId="17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37" fillId="0" borderId="0" xfId="0" applyNumberFormat="1" applyFont="1" applyFill="1" applyAlignment="1">
      <alignment vertical="center"/>
    </xf>
    <xf numFmtId="49" fontId="9" fillId="0" borderId="2" xfId="0" applyNumberFormat="1" applyFont="1" applyFill="1" applyBorder="1" applyAlignment="1">
      <alignment horizontal="center" wrapText="1"/>
    </xf>
    <xf numFmtId="191" fontId="31" fillId="0" borderId="2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wrapText="1"/>
    </xf>
    <xf numFmtId="191" fontId="31" fillId="0" borderId="18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7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wrapText="1"/>
    </xf>
    <xf numFmtId="0" fontId="37" fillId="0" borderId="17" xfId="0" applyFont="1" applyFill="1" applyBorder="1" applyAlignment="1">
      <alignment horizontal="center" vertical="center"/>
    </xf>
    <xf numFmtId="190" fontId="37" fillId="0" borderId="17" xfId="0" applyNumberFormat="1" applyFont="1" applyFill="1" applyBorder="1" applyAlignment="1">
      <alignment horizontal="center" vertical="center"/>
    </xf>
    <xf numFmtId="190" fontId="37" fillId="0" borderId="2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vertical="center"/>
    </xf>
    <xf numFmtId="0" fontId="31" fillId="2" borderId="0" xfId="0" applyNumberFormat="1" applyFont="1" applyFill="1" applyBorder="1" applyAlignment="1">
      <alignment vertical="center"/>
    </xf>
    <xf numFmtId="0" fontId="37" fillId="2" borderId="0" xfId="0" applyNumberFormat="1" applyFont="1" applyFill="1" applyBorder="1" applyAlignment="1">
      <alignment vertical="center"/>
    </xf>
    <xf numFmtId="0" fontId="37" fillId="2" borderId="0" xfId="0" applyNumberFormat="1" applyFont="1" applyFill="1" applyAlignment="1">
      <alignment vertical="center"/>
    </xf>
    <xf numFmtId="0" fontId="31" fillId="2" borderId="0" xfId="0" applyNumberFormat="1" applyFont="1" applyFill="1" applyAlignment="1">
      <alignment vertical="center"/>
    </xf>
    <xf numFmtId="0" fontId="37" fillId="0" borderId="0" xfId="0" applyNumberFormat="1" applyFont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/>
    </xf>
    <xf numFmtId="49" fontId="39" fillId="2" borderId="2" xfId="0" applyNumberFormat="1" applyFont="1" applyFill="1" applyBorder="1" applyAlignment="1">
      <alignment horizontal="center" vertical="center"/>
    </xf>
    <xf numFmtId="49" fontId="39" fillId="2" borderId="2" xfId="0" applyNumberFormat="1" applyFont="1" applyFill="1" applyBorder="1" applyAlignment="1">
      <alignment horizontal="center" vertical="center" wrapText="1"/>
    </xf>
    <xf numFmtId="190" fontId="31" fillId="2" borderId="18" xfId="0" applyNumberFormat="1" applyFont="1" applyFill="1" applyBorder="1" applyAlignment="1">
      <alignment horizontal="center" vertical="center" wrapText="1"/>
    </xf>
    <xf numFmtId="190" fontId="31" fillId="2" borderId="18" xfId="0" applyNumberFormat="1" applyFont="1" applyFill="1" applyBorder="1" applyAlignment="1">
      <alignment horizontal="center" vertical="center"/>
    </xf>
    <xf numFmtId="49" fontId="32" fillId="2" borderId="18" xfId="0" applyNumberFormat="1" applyFont="1" applyFill="1" applyBorder="1" applyAlignment="1">
      <alignment horizontal="center" vertical="center"/>
    </xf>
    <xf numFmtId="190" fontId="31" fillId="2" borderId="17" xfId="0" applyNumberFormat="1" applyFont="1" applyFill="1" applyBorder="1" applyAlignment="1">
      <alignment horizontal="center" vertical="center" wrapText="1"/>
    </xf>
    <xf numFmtId="190" fontId="31" fillId="2" borderId="17" xfId="0" applyNumberFormat="1" applyFont="1" applyFill="1" applyBorder="1" applyAlignment="1">
      <alignment horizontal="center" vertical="center"/>
    </xf>
    <xf numFmtId="49" fontId="32" fillId="2" borderId="17" xfId="0" applyNumberFormat="1" applyFont="1" applyFill="1" applyBorder="1" applyAlignment="1">
      <alignment horizontal="center" vertical="center"/>
    </xf>
    <xf numFmtId="0" fontId="22" fillId="0" borderId="17" xfId="17" applyFont="1" applyBorder="1" applyAlignment="1">
      <alignment horizontal="center" vertical="center" wrapText="1"/>
    </xf>
    <xf numFmtId="0" fontId="22" fillId="0" borderId="17" xfId="19" applyNumberFormat="1" applyFont="1" applyFill="1" applyBorder="1" applyAlignment="1" applyProtection="1">
      <alignment horizontal="center" vertical="center" wrapText="1"/>
    </xf>
    <xf numFmtId="188" fontId="22" fillId="7" borderId="17" xfId="19" applyNumberFormat="1" applyFont="1" applyFill="1" applyBorder="1" applyAlignment="1" applyProtection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/>
    </xf>
    <xf numFmtId="0" fontId="37" fillId="2" borderId="17" xfId="0" applyNumberFormat="1" applyFont="1" applyFill="1" applyBorder="1" applyAlignment="1">
      <alignment horizontal="center" vertical="center"/>
    </xf>
    <xf numFmtId="190" fontId="37" fillId="2" borderId="17" xfId="0" applyNumberFormat="1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vertical="center"/>
    </xf>
    <xf numFmtId="0" fontId="37" fillId="2" borderId="0" xfId="0" applyNumberFormat="1" applyFont="1" applyFill="1" applyAlignment="1">
      <alignment horizontal="center" vertical="center"/>
    </xf>
    <xf numFmtId="0" fontId="31" fillId="2" borderId="0" xfId="0" applyNumberFormat="1" applyFont="1" applyFill="1" applyAlignment="1">
      <alignment horizontal="center" vertical="center"/>
    </xf>
    <xf numFmtId="10" fontId="31" fillId="0" borderId="0" xfId="0" applyNumberFormat="1" applyFont="1" applyFill="1" applyAlignment="1">
      <alignment vertical="center"/>
    </xf>
    <xf numFmtId="10" fontId="31" fillId="0" borderId="0" xfId="0" applyNumberFormat="1" applyFont="1" applyFill="1" applyBorder="1" applyAlignment="1">
      <alignment vertical="center"/>
    </xf>
    <xf numFmtId="0" fontId="31" fillId="0" borderId="0" xfId="0" applyNumberFormat="1" applyFont="1" applyBorder="1" applyAlignment="1">
      <alignment vertical="center"/>
    </xf>
    <xf numFmtId="182" fontId="0" fillId="2" borderId="0" xfId="0" applyNumberFormat="1" applyFill="1">
      <alignment vertical="center"/>
    </xf>
    <xf numFmtId="49" fontId="32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192" fontId="32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/>
    </xf>
    <xf numFmtId="14" fontId="44" fillId="0" borderId="19" xfId="0" applyNumberFormat="1" applyFont="1" applyFill="1" applyBorder="1" applyAlignment="1">
      <alignment horizontal="center" vertical="center"/>
    </xf>
    <xf numFmtId="14" fontId="44" fillId="0" borderId="0" xfId="0" applyNumberFormat="1" applyFont="1" applyFill="1" applyBorder="1" applyAlignment="1">
      <alignment horizontal="center" vertical="center"/>
    </xf>
    <xf numFmtId="49" fontId="46" fillId="0" borderId="2" xfId="0" applyNumberFormat="1" applyFont="1" applyFill="1" applyBorder="1" applyAlignment="1">
      <alignment horizontal="center" vertical="center" wrapText="1"/>
    </xf>
    <xf numFmtId="49" fontId="45" fillId="0" borderId="18" xfId="0" applyNumberFormat="1" applyFont="1" applyFill="1" applyBorder="1" applyAlignment="1">
      <alignment horizontal="center" vertical="center"/>
    </xf>
    <xf numFmtId="0" fontId="47" fillId="0" borderId="17" xfId="0" applyNumberFormat="1" applyFont="1" applyFill="1" applyBorder="1" applyAlignment="1">
      <alignment horizontal="center" vertical="center"/>
    </xf>
    <xf numFmtId="192" fontId="48" fillId="0" borderId="17" xfId="0" applyNumberFormat="1" applyFont="1" applyFill="1" applyBorder="1" applyAlignment="1">
      <alignment horizontal="center" vertical="center"/>
    </xf>
    <xf numFmtId="193" fontId="48" fillId="0" borderId="15" xfId="0" applyNumberFormat="1" applyFont="1" applyFill="1" applyBorder="1" applyAlignment="1">
      <alignment horizontal="center" vertical="center"/>
    </xf>
    <xf numFmtId="192" fontId="48" fillId="0" borderId="2" xfId="0" applyNumberFormat="1" applyFont="1" applyFill="1" applyBorder="1" applyAlignment="1">
      <alignment horizontal="center" vertical="center"/>
    </xf>
    <xf numFmtId="193" fontId="48" fillId="0" borderId="2" xfId="0" applyNumberFormat="1" applyFont="1" applyFill="1" applyBorder="1" applyAlignment="1">
      <alignment horizontal="center" vertical="center"/>
    </xf>
    <xf numFmtId="49" fontId="45" fillId="0" borderId="17" xfId="0" applyNumberFormat="1" applyFont="1" applyFill="1" applyBorder="1" applyAlignment="1">
      <alignment horizontal="center" vertical="center"/>
    </xf>
    <xf numFmtId="192" fontId="49" fillId="0" borderId="17" xfId="0" applyNumberFormat="1" applyFont="1" applyFill="1" applyBorder="1" applyAlignment="1">
      <alignment horizontal="center" vertical="center"/>
    </xf>
    <xf numFmtId="193" fontId="49" fillId="0" borderId="15" xfId="0" applyNumberFormat="1" applyFont="1" applyFill="1" applyBorder="1" applyAlignment="1">
      <alignment horizontal="center" vertical="center"/>
    </xf>
    <xf numFmtId="192" fontId="49" fillId="0" borderId="2" xfId="0" applyNumberFormat="1" applyFont="1" applyFill="1" applyBorder="1" applyAlignment="1">
      <alignment horizontal="center" vertical="center"/>
    </xf>
    <xf numFmtId="1" fontId="49" fillId="0" borderId="17" xfId="0" applyNumberFormat="1" applyFont="1" applyFill="1" applyBorder="1" applyAlignment="1">
      <alignment horizontal="center" vertical="center"/>
    </xf>
    <xf numFmtId="1" fontId="48" fillId="0" borderId="17" xfId="0" applyNumberFormat="1" applyFont="1" applyFill="1" applyBorder="1" applyAlignment="1">
      <alignment horizontal="center" vertical="center"/>
    </xf>
    <xf numFmtId="10" fontId="49" fillId="0" borderId="15" xfId="0" applyNumberFormat="1" applyFont="1" applyFill="1" applyBorder="1" applyAlignment="1">
      <alignment horizontal="center" vertical="center"/>
    </xf>
    <xf numFmtId="10" fontId="31" fillId="0" borderId="21" xfId="0" applyNumberFormat="1" applyFont="1" applyFill="1" applyBorder="1" applyAlignment="1">
      <alignment horizontal="center" vertical="center"/>
    </xf>
    <xf numFmtId="10" fontId="47" fillId="0" borderId="21" xfId="0" applyNumberFormat="1" applyFont="1" applyFill="1" applyBorder="1" applyAlignment="1">
      <alignment horizontal="center" vertical="center"/>
    </xf>
    <xf numFmtId="10" fontId="31" fillId="0" borderId="16" xfId="0" applyNumberFormat="1" applyFont="1" applyFill="1" applyBorder="1" applyAlignment="1">
      <alignment horizontal="center" vertical="center"/>
    </xf>
    <xf numFmtId="10" fontId="31" fillId="0" borderId="1" xfId="0" applyNumberFormat="1" applyFont="1" applyFill="1" applyBorder="1" applyAlignment="1">
      <alignment horizontal="center" vertical="center"/>
    </xf>
    <xf numFmtId="10" fontId="31" fillId="0" borderId="2" xfId="0" applyNumberFormat="1" applyFont="1" applyFill="1" applyBorder="1" applyAlignment="1">
      <alignment horizontal="center" vertical="center"/>
    </xf>
    <xf numFmtId="10" fontId="47" fillId="0" borderId="2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31" fontId="51" fillId="0" borderId="5" xfId="21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vertical="center" wrapText="1"/>
    </xf>
    <xf numFmtId="31" fontId="51" fillId="0" borderId="5" xfId="21" applyNumberFormat="1" applyFont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52" fillId="2" borderId="2" xfId="2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182" fontId="7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>
      <alignment vertical="center"/>
    </xf>
    <xf numFmtId="186" fontId="53" fillId="2" borderId="2" xfId="0" applyNumberFormat="1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/>
    </xf>
    <xf numFmtId="182" fontId="22" fillId="2" borderId="2" xfId="0" applyNumberFormat="1" applyFont="1" applyFill="1" applyBorder="1" applyAlignment="1">
      <alignment horizontal="center" vertical="center" wrapText="1"/>
    </xf>
    <xf numFmtId="186" fontId="22" fillId="2" borderId="2" xfId="0" applyNumberFormat="1" applyFont="1" applyFill="1" applyBorder="1" applyAlignment="1">
      <alignment horizontal="center" vertical="center"/>
    </xf>
    <xf numFmtId="182" fontId="22" fillId="2" borderId="2" xfId="0" applyNumberFormat="1" applyFont="1" applyFill="1" applyBorder="1" applyAlignment="1">
      <alignment horizontal="center" vertical="center"/>
    </xf>
    <xf numFmtId="182" fontId="54" fillId="2" borderId="2" xfId="0" applyNumberFormat="1" applyFont="1" applyFill="1" applyBorder="1" applyAlignment="1">
      <alignment horizontal="center"/>
    </xf>
    <xf numFmtId="0" fontId="54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5" fillId="2" borderId="2" xfId="0" applyFont="1" applyFill="1" applyBorder="1" applyAlignment="1">
      <alignment horizontal="center"/>
    </xf>
    <xf numFmtId="0" fontId="22" fillId="2" borderId="2" xfId="7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left" vertical="center" wrapText="1"/>
    </xf>
    <xf numFmtId="194" fontId="22" fillId="2" borderId="2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/>
    </xf>
    <xf numFmtId="182" fontId="7" fillId="2" borderId="2" xfId="7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182" fontId="22" fillId="2" borderId="1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justify" vertical="center"/>
    </xf>
    <xf numFmtId="0" fontId="27" fillId="2" borderId="2" xfId="7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180" fontId="7" fillId="2" borderId="2" xfId="0" applyNumberFormat="1" applyFont="1" applyFill="1" applyBorder="1" applyAlignment="1">
      <alignment horizontal="center" vertical="center" wrapText="1"/>
    </xf>
    <xf numFmtId="180" fontId="0" fillId="0" borderId="0" xfId="0" applyNumberFormat="1" applyFont="1" applyAlignment="1">
      <alignment horizontal="left" vertical="center" wrapText="1"/>
    </xf>
    <xf numFmtId="31" fontId="57" fillId="0" borderId="5" xfId="21" applyNumberFormat="1" applyFont="1" applyBorder="1" applyAlignment="1">
      <alignment horizontal="center"/>
    </xf>
    <xf numFmtId="182" fontId="7" fillId="2" borderId="1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193" fontId="8" fillId="2" borderId="21" xfId="0" applyNumberFormat="1" applyFont="1" applyFill="1" applyBorder="1" applyAlignment="1">
      <alignment horizontal="left" vertical="center" wrapText="1"/>
    </xf>
    <xf numFmtId="193" fontId="8" fillId="2" borderId="2" xfId="0" applyNumberFormat="1" applyFont="1" applyFill="1" applyBorder="1" applyAlignment="1">
      <alignment horizontal="left" vertical="center" wrapText="1"/>
    </xf>
    <xf numFmtId="182" fontId="8" fillId="2" borderId="2" xfId="0" applyNumberFormat="1" applyFont="1" applyFill="1" applyBorder="1" applyAlignment="1"/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31" fontId="51" fillId="0" borderId="5" xfId="21" applyNumberFormat="1" applyFont="1" applyBorder="1" applyAlignment="1">
      <alignment wrapText="1"/>
    </xf>
    <xf numFmtId="195" fontId="0" fillId="0" borderId="5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0" fillId="2" borderId="2" xfId="0" applyFont="1" applyFill="1" applyBorder="1" applyAlignment="1"/>
    <xf numFmtId="0" fontId="22" fillId="2" borderId="2" xfId="0" applyFont="1" applyFill="1" applyBorder="1" applyAlignment="1">
      <alignment horizontal="right" vertical="center" wrapText="1"/>
    </xf>
    <xf numFmtId="0" fontId="55" fillId="2" borderId="2" xfId="0" applyFont="1" applyFill="1" applyBorder="1" applyAlignment="1"/>
    <xf numFmtId="0" fontId="7" fillId="2" borderId="2" xfId="0" applyFont="1" applyFill="1" applyBorder="1" applyAlignment="1">
      <alignment horizontal="left" wrapText="1"/>
    </xf>
    <xf numFmtId="0" fontId="22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>
      <alignment vertical="center"/>
    </xf>
    <xf numFmtId="0" fontId="27" fillId="2" borderId="2" xfId="7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left" vertical="center"/>
    </xf>
    <xf numFmtId="0" fontId="2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/>
    <xf numFmtId="193" fontId="8" fillId="2" borderId="17" xfId="0" applyNumberFormat="1" applyFont="1" applyFill="1" applyBorder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31" fontId="1" fillId="0" borderId="5" xfId="21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82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22" fillId="2" borderId="2" xfId="0" applyFont="1" applyFill="1" applyBorder="1">
      <alignment vertical="center"/>
    </xf>
    <xf numFmtId="182" fontId="7" fillId="2" borderId="2" xfId="0" applyNumberFormat="1" applyFont="1" applyFill="1" applyBorder="1" applyAlignment="1">
      <alignment horizontal="center" vertical="center"/>
    </xf>
    <xf numFmtId="182" fontId="22" fillId="2" borderId="2" xfId="0" applyNumberFormat="1" applyFont="1" applyFill="1" applyBorder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14" fontId="44" fillId="0" borderId="19" xfId="0" applyNumberFormat="1" applyFont="1" applyFill="1" applyBorder="1" applyAlignment="1">
      <alignment horizontal="center" vertical="center"/>
    </xf>
    <xf numFmtId="49" fontId="46" fillId="0" borderId="2" xfId="0" applyNumberFormat="1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49" fontId="45" fillId="0" borderId="2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49" fontId="46" fillId="0" borderId="20" xfId="0" applyNumberFormat="1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49" fontId="46" fillId="0" borderId="21" xfId="0" applyNumberFormat="1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49" fontId="46" fillId="0" borderId="16" xfId="0" applyNumberFormat="1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49" fontId="42" fillId="2" borderId="0" xfId="0" applyNumberFormat="1" applyFont="1" applyFill="1" applyBorder="1" applyAlignment="1">
      <alignment horizontal="center"/>
    </xf>
    <xf numFmtId="0" fontId="38" fillId="2" borderId="0" xfId="0" applyFont="1" applyFill="1" applyBorder="1" applyAlignment="1">
      <alignment horizontal="center"/>
    </xf>
    <xf numFmtId="31" fontId="32" fillId="2" borderId="0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31" fontId="32" fillId="0" borderId="0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31" fontId="3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88" fontId="19" fillId="2" borderId="1" xfId="0" applyNumberFormat="1" applyFont="1" applyFill="1" applyBorder="1" applyAlignment="1">
      <alignment horizontal="center" vertical="center" wrapText="1"/>
    </xf>
    <xf numFmtId="188" fontId="19" fillId="2" borderId="4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31" fontId="1" fillId="0" borderId="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3" fillId="0" borderId="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60" fillId="0" borderId="0" xfId="0" applyNumberFormat="1" applyFont="1" applyFill="1" applyBorder="1" applyAlignment="1">
      <alignment horizontal="center" vertical="center" wrapText="1"/>
    </xf>
    <xf numFmtId="49" fontId="61" fillId="2" borderId="0" xfId="0" applyNumberFormat="1" applyFont="1" applyFill="1" applyBorder="1" applyAlignment="1">
      <alignment horizontal="center"/>
    </xf>
    <xf numFmtId="0" fontId="62" fillId="2" borderId="0" xfId="0" applyFont="1" applyFill="1" applyBorder="1" applyAlignment="1">
      <alignment horizontal="center"/>
    </xf>
    <xf numFmtId="49" fontId="62" fillId="0" borderId="0" xfId="0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49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49" fontId="64" fillId="2" borderId="0" xfId="0" applyNumberFormat="1" applyFont="1" applyFill="1" applyBorder="1" applyAlignment="1">
      <alignment horizontal="left" vertical="center"/>
    </xf>
    <xf numFmtId="49" fontId="64" fillId="0" borderId="0" xfId="0" applyNumberFormat="1" applyFont="1" applyFill="1" applyBorder="1" applyAlignment="1">
      <alignment horizontal="left" vertical="center"/>
    </xf>
    <xf numFmtId="49" fontId="65" fillId="0" borderId="0" xfId="0" applyNumberFormat="1" applyFont="1" applyFill="1" applyBorder="1" applyAlignment="1">
      <alignment horizontal="left" vertical="center"/>
    </xf>
  </cellXfs>
  <cellStyles count="22">
    <cellStyle name="20% - 强调文字颜色 1 2" xfId="1"/>
    <cellStyle name="20% - 强调文字颜色 2 2" xfId="9"/>
    <cellStyle name="20% - 强调文字颜色 3 2" xfId="10"/>
    <cellStyle name="20% - 强调文字颜色 4 2" xfId="12"/>
    <cellStyle name="20% - 强调文字颜色 5 2" xfId="13"/>
    <cellStyle name="20% - 强调文字颜色 6 2" xfId="14"/>
    <cellStyle name="40% - 强调文字颜色 1 2" xfId="3"/>
    <cellStyle name="40% - 强调文字颜色 2 2" xfId="4"/>
    <cellStyle name="40% - 强调文字颜色 3 2" xfId="15"/>
    <cellStyle name="40% - 强调文字颜色 4 2" xfId="2"/>
    <cellStyle name="40% - 强调文字颜色 5 2" xfId="5"/>
    <cellStyle name="40% - 强调文字颜色 6 2" xfId="8"/>
    <cellStyle name="常规" xfId="0" builtinId="0"/>
    <cellStyle name="常规 10" xfId="7"/>
    <cellStyle name="常规 2" xfId="16"/>
    <cellStyle name="常规 2 2 3" xfId="6"/>
    <cellStyle name="常规 23" xfId="17"/>
    <cellStyle name="常规 3" xfId="11"/>
    <cellStyle name="常规 3 2" xfId="18"/>
    <cellStyle name="常规 4" xfId="19"/>
    <cellStyle name="常规 5" xfId="20"/>
    <cellStyle name="常规_Sheet1" xfId="21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049" name="Text Box 1025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050" name="Text Box 1026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051" name="Text Box 1027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052" name="Text Box 1028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3" name="Text Box 1029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4" name="Text Box 1030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5" name="Text Box 1031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6" name="Text Box 1032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7" name="Text Box 1033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8" name="Text Box 1034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59" name="Text Box 103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060" name="Text Box 103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1" name="Text Box 103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2" name="Text Box 103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3" name="Text Box 1039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4" name="Text Box 1040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5" name="Text Box 1041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6" name="Text Box 1042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7" name="Text Box 1043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068" name="Text Box 1044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069" name="Text Box 1025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070" name="Text Box 1026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071" name="Text Box 1027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072" name="Text Box 1028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073" name="Text Box 1025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074" name="Text Box 1026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075" name="Text Box 1027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076" name="Text Box 1028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077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078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079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080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081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082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083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084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85" name="Text Box 103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86" name="Text Box 103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87" name="Text Box 1039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88" name="Text Box 1040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89" name="Text Box 1041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90" name="Text Box 1042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91" name="Text Box 1043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092" name="Text Box 1044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3" name="Text Box 103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4" name="Text Box 103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5" name="Text Box 1039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6" name="Text Box 1040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7" name="Text Box 1041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8" name="Text Box 1042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099" name="Text Box 1043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100" name="Text Box 1044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1" name="Text Box 103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2" name="Text Box 103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3" name="Text Box 1039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4" name="Text Box 1040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5" name="Text Box 1041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6" name="Text Box 1042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7" name="Text Box 1043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108" name="Text Box 1044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09" name="Text Box 103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0" name="Text Box 103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1" name="Text Box 1039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2" name="Text Box 1040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3" name="Text Box 1041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4" name="Text Box 1042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5" name="Text Box 1043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116" name="Text Box 1044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17" name="Text Box 103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18" name="Text Box 103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19" name="Text Box 1039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20" name="Text Box 1040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21" name="Text Box 1041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22" name="Text Box 1042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23" name="Text Box 1043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124" name="Text Box 1044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25" name="Text Box 103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26" name="Text Box 103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27" name="Text Box 1039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28" name="Text Box 1040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29" name="Text Box 1041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30" name="Text Box 1042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31" name="Text Box 1043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132" name="Text Box 1044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3" name="Text Box 103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4" name="Text Box 103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5" name="Text Box 1039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6" name="Text Box 1040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7" name="Text Box 1041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8" name="Text Box 1042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39" name="Text Box 1043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140" name="Text Box 1044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1" name="Text Box 103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2" name="Text Box 103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3" name="Text Box 1039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4" name="Text Box 1040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5" name="Text Box 1041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6" name="Text Box 1042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7" name="Text Box 1043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148" name="Text Box 1044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49" name="Text Box 103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0" name="Text Box 103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1" name="Text Box 1039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2" name="Text Box 1040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3" name="Text Box 1041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4" name="Text Box 1042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5" name="Text Box 1043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156" name="Text Box 1044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57" name="Text Box 103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58" name="Text Box 103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59" name="Text Box 1039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60" name="Text Box 1040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61" name="Text Box 1041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62" name="Text Box 1042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63" name="Text Box 1043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164" name="Text Box 1044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65" name="Text Box 103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66" name="Text Box 103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67" name="Text Box 1039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68" name="Text Box 1040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69" name="Text Box 1041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70" name="Text Box 1042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71" name="Text Box 1043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172" name="Text Box 1044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132</xdr:row>
      <xdr:rowOff>266700</xdr:rowOff>
    </xdr:from>
    <xdr:to>
      <xdr:col>1</xdr:col>
      <xdr:colOff>76200</xdr:colOff>
      <xdr:row>133</xdr:row>
      <xdr:rowOff>180975</xdr:rowOff>
    </xdr:to>
    <xdr:sp macro="" textlink="">
      <xdr:nvSpPr>
        <xdr:cNvPr id="2173" name="Text Box 1025"/>
        <xdr:cNvSpPr txBox="1">
          <a:spLocks noChangeArrowheads="1"/>
        </xdr:cNvSpPr>
      </xdr:nvSpPr>
      <xdr:spPr>
        <a:xfrm>
          <a:off x="1419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132</xdr:row>
      <xdr:rowOff>266700</xdr:rowOff>
    </xdr:from>
    <xdr:to>
      <xdr:col>1</xdr:col>
      <xdr:colOff>76200</xdr:colOff>
      <xdr:row>133</xdr:row>
      <xdr:rowOff>180975</xdr:rowOff>
    </xdr:to>
    <xdr:sp macro="" textlink="">
      <xdr:nvSpPr>
        <xdr:cNvPr id="2174" name="Text Box 1026"/>
        <xdr:cNvSpPr txBox="1">
          <a:spLocks noChangeArrowheads="1"/>
        </xdr:cNvSpPr>
      </xdr:nvSpPr>
      <xdr:spPr>
        <a:xfrm>
          <a:off x="1419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132</xdr:row>
      <xdr:rowOff>266700</xdr:rowOff>
    </xdr:from>
    <xdr:to>
      <xdr:col>1</xdr:col>
      <xdr:colOff>76200</xdr:colOff>
      <xdr:row>133</xdr:row>
      <xdr:rowOff>180975</xdr:rowOff>
    </xdr:to>
    <xdr:sp macro="" textlink="">
      <xdr:nvSpPr>
        <xdr:cNvPr id="2175" name="Text Box 1027"/>
        <xdr:cNvSpPr txBox="1">
          <a:spLocks noChangeArrowheads="1"/>
        </xdr:cNvSpPr>
      </xdr:nvSpPr>
      <xdr:spPr>
        <a:xfrm>
          <a:off x="1419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132</xdr:row>
      <xdr:rowOff>266700</xdr:rowOff>
    </xdr:from>
    <xdr:to>
      <xdr:col>1</xdr:col>
      <xdr:colOff>76200</xdr:colOff>
      <xdr:row>133</xdr:row>
      <xdr:rowOff>180975</xdr:rowOff>
    </xdr:to>
    <xdr:sp macro="" textlink="">
      <xdr:nvSpPr>
        <xdr:cNvPr id="2176" name="Text Box 1028"/>
        <xdr:cNvSpPr txBox="1">
          <a:spLocks noChangeArrowheads="1"/>
        </xdr:cNvSpPr>
      </xdr:nvSpPr>
      <xdr:spPr>
        <a:xfrm>
          <a:off x="1419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177" name="Text Box 1025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178" name="Text Box 1026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179" name="Text Box 1027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180" name="Text Box 1028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181" name="Text Box 1025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182" name="Text Box 1026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183" name="Text Box 1027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184" name="Text Box 1028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185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186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187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188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189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190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191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192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193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194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195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196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197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198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199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00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01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02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03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04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05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06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07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08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09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10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11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12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213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214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215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216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217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218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219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220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221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222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223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224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225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226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227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228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229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230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231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232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233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234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235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236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237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238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239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240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241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242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243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244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45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46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47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48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49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50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51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252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3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4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5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6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7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8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59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260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1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2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3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4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5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6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7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268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69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0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1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2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3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4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5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276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77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78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79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80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81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82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83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284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85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86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87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88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89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90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91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292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3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4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5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6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7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8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299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300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1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2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3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4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5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6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7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308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09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0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1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2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3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4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5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316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17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18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19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20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21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22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23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324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25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26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27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28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29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30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31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332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3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4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5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6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7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8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39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340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1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2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3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4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5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6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7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348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49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0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1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2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3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4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5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356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57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58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59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60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61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62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63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364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65" name="Text Box 103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66" name="Text Box 103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67" name="Text Box 1039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68" name="Text Box 1040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69" name="Text Box 1041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0" name="Text Box 1042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1" name="Text Box 1043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2" name="Text Box 1044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3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4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5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6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7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8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79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80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81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82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83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384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385" name="Text Box 1025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386" name="Text Box 1026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387" name="Text Box 1027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388" name="Text Box 1028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389" name="Text Box 1025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390" name="Text Box 1026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391" name="Text Box 1027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132</xdr:row>
      <xdr:rowOff>266700</xdr:rowOff>
    </xdr:from>
    <xdr:to>
      <xdr:col>3</xdr:col>
      <xdr:colOff>76200</xdr:colOff>
      <xdr:row>133</xdr:row>
      <xdr:rowOff>180975</xdr:rowOff>
    </xdr:to>
    <xdr:sp macro="" textlink="">
      <xdr:nvSpPr>
        <xdr:cNvPr id="2392" name="Text Box 1028"/>
        <xdr:cNvSpPr txBox="1">
          <a:spLocks noChangeArrowheads="1"/>
        </xdr:cNvSpPr>
      </xdr:nvSpPr>
      <xdr:spPr>
        <a:xfrm>
          <a:off x="2714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3" name="Text Box 1025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4" name="Text Box 1026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5" name="Text Box 1027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6" name="Text Box 1028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7" name="Text Box 1025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8" name="Text Box 1026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399" name="Text Box 1027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400" name="Text Box 1028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401" name="Text Box 1025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402" name="Text Box 1026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403" name="Text Box 1027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132</xdr:row>
      <xdr:rowOff>266700</xdr:rowOff>
    </xdr:from>
    <xdr:to>
      <xdr:col>4</xdr:col>
      <xdr:colOff>76200</xdr:colOff>
      <xdr:row>133</xdr:row>
      <xdr:rowOff>180975</xdr:rowOff>
    </xdr:to>
    <xdr:sp macro="" textlink="">
      <xdr:nvSpPr>
        <xdr:cNvPr id="2404" name="Text Box 1028"/>
        <xdr:cNvSpPr txBox="1">
          <a:spLocks noChangeArrowheads="1"/>
        </xdr:cNvSpPr>
      </xdr:nvSpPr>
      <xdr:spPr>
        <a:xfrm>
          <a:off x="3600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05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06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07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08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09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0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1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2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3" name="Text Box 1025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4" name="Text Box 1026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5" name="Text Box 1027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132</xdr:row>
      <xdr:rowOff>266700</xdr:rowOff>
    </xdr:from>
    <xdr:to>
      <xdr:col>5</xdr:col>
      <xdr:colOff>76200</xdr:colOff>
      <xdr:row>133</xdr:row>
      <xdr:rowOff>180975</xdr:rowOff>
    </xdr:to>
    <xdr:sp macro="" textlink="">
      <xdr:nvSpPr>
        <xdr:cNvPr id="2416" name="Text Box 1028"/>
        <xdr:cNvSpPr txBox="1">
          <a:spLocks noChangeArrowheads="1"/>
        </xdr:cNvSpPr>
      </xdr:nvSpPr>
      <xdr:spPr>
        <a:xfrm>
          <a:off x="45720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17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18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19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0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1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2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3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4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5" name="Text Box 1025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6" name="Text Box 1026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7" name="Text Box 1027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132</xdr:row>
      <xdr:rowOff>266700</xdr:rowOff>
    </xdr:from>
    <xdr:to>
      <xdr:col>6</xdr:col>
      <xdr:colOff>76200</xdr:colOff>
      <xdr:row>133</xdr:row>
      <xdr:rowOff>180975</xdr:rowOff>
    </xdr:to>
    <xdr:sp macro="" textlink="">
      <xdr:nvSpPr>
        <xdr:cNvPr id="2428" name="Text Box 1028"/>
        <xdr:cNvSpPr txBox="1">
          <a:spLocks noChangeArrowheads="1"/>
        </xdr:cNvSpPr>
      </xdr:nvSpPr>
      <xdr:spPr>
        <a:xfrm>
          <a:off x="5495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29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0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1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2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3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4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5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6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7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8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39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0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1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2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3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4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5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6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7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8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49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0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1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2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3" name="Text Box 1025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4" name="Text Box 1026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5" name="Text Box 1027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132</xdr:row>
      <xdr:rowOff>266700</xdr:rowOff>
    </xdr:from>
    <xdr:to>
      <xdr:col>7</xdr:col>
      <xdr:colOff>76200</xdr:colOff>
      <xdr:row>133</xdr:row>
      <xdr:rowOff>180975</xdr:rowOff>
    </xdr:to>
    <xdr:sp macro="" textlink="">
      <xdr:nvSpPr>
        <xdr:cNvPr id="2456" name="Text Box 1028"/>
        <xdr:cNvSpPr txBox="1">
          <a:spLocks noChangeArrowheads="1"/>
        </xdr:cNvSpPr>
      </xdr:nvSpPr>
      <xdr:spPr>
        <a:xfrm>
          <a:off x="63722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57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58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59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0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1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2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3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4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5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6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7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8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69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0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1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2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3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4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5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6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7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8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79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80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81" name="Text Box 1025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82" name="Text Box 1026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83" name="Text Box 1027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132</xdr:row>
      <xdr:rowOff>266700</xdr:rowOff>
    </xdr:from>
    <xdr:to>
      <xdr:col>8</xdr:col>
      <xdr:colOff>76200</xdr:colOff>
      <xdr:row>133</xdr:row>
      <xdr:rowOff>180975</xdr:rowOff>
    </xdr:to>
    <xdr:sp macro="" textlink="">
      <xdr:nvSpPr>
        <xdr:cNvPr id="2484" name="Text Box 1028"/>
        <xdr:cNvSpPr txBox="1">
          <a:spLocks noChangeArrowheads="1"/>
        </xdr:cNvSpPr>
      </xdr:nvSpPr>
      <xdr:spPr>
        <a:xfrm>
          <a:off x="70199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85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86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87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88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89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0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1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2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3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4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5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6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7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8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499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0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1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2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3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4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5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6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7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8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09" name="Text Box 1025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10" name="Text Box 1026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11" name="Text Box 1027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132</xdr:row>
      <xdr:rowOff>266700</xdr:rowOff>
    </xdr:from>
    <xdr:to>
      <xdr:col>9</xdr:col>
      <xdr:colOff>76200</xdr:colOff>
      <xdr:row>133</xdr:row>
      <xdr:rowOff>180975</xdr:rowOff>
    </xdr:to>
    <xdr:sp macro="" textlink="">
      <xdr:nvSpPr>
        <xdr:cNvPr id="2512" name="Text Box 1028"/>
        <xdr:cNvSpPr txBox="1">
          <a:spLocks noChangeArrowheads="1"/>
        </xdr:cNvSpPr>
      </xdr:nvSpPr>
      <xdr:spPr>
        <a:xfrm>
          <a:off x="76962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3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4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5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6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7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8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19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0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1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2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3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4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5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6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7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8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29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0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1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2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3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4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5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6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7" name="Text Box 1025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8" name="Text Box 1026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39" name="Text Box 1027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132</xdr:row>
      <xdr:rowOff>266700</xdr:rowOff>
    </xdr:from>
    <xdr:to>
      <xdr:col>10</xdr:col>
      <xdr:colOff>76200</xdr:colOff>
      <xdr:row>133</xdr:row>
      <xdr:rowOff>180975</xdr:rowOff>
    </xdr:to>
    <xdr:sp macro="" textlink="">
      <xdr:nvSpPr>
        <xdr:cNvPr id="2540" name="Text Box 1028"/>
        <xdr:cNvSpPr txBox="1">
          <a:spLocks noChangeArrowheads="1"/>
        </xdr:cNvSpPr>
      </xdr:nvSpPr>
      <xdr:spPr>
        <a:xfrm>
          <a:off x="85629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1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2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3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4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5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6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7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8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49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0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1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2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3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4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5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6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7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8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59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0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1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2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3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4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5" name="Text Box 1025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6" name="Text Box 1026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7" name="Text Box 1027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132</xdr:row>
      <xdr:rowOff>266700</xdr:rowOff>
    </xdr:from>
    <xdr:to>
      <xdr:col>11</xdr:col>
      <xdr:colOff>76200</xdr:colOff>
      <xdr:row>133</xdr:row>
      <xdr:rowOff>180975</xdr:rowOff>
    </xdr:to>
    <xdr:sp macro="" textlink="">
      <xdr:nvSpPr>
        <xdr:cNvPr id="2568" name="Text Box 1028"/>
        <xdr:cNvSpPr txBox="1">
          <a:spLocks noChangeArrowheads="1"/>
        </xdr:cNvSpPr>
      </xdr:nvSpPr>
      <xdr:spPr>
        <a:xfrm>
          <a:off x="95631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69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0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1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2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3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4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5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6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7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8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79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0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1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2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3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4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5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6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7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8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89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0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1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2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3" name="Text Box 1025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4" name="Text Box 1026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5" name="Text Box 1027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132</xdr:row>
      <xdr:rowOff>266700</xdr:rowOff>
    </xdr:from>
    <xdr:to>
      <xdr:col>12</xdr:col>
      <xdr:colOff>76200</xdr:colOff>
      <xdr:row>133</xdr:row>
      <xdr:rowOff>180975</xdr:rowOff>
    </xdr:to>
    <xdr:sp macro="" textlink="">
      <xdr:nvSpPr>
        <xdr:cNvPr id="2596" name="Text Box 1028"/>
        <xdr:cNvSpPr txBox="1">
          <a:spLocks noChangeArrowheads="1"/>
        </xdr:cNvSpPr>
      </xdr:nvSpPr>
      <xdr:spPr>
        <a:xfrm>
          <a:off x="103917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597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598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599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0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1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2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3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4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5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6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7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8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09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0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1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2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3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4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5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6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7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8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19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20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21" name="Text Box 1025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22" name="Text Box 1026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23" name="Text Box 1027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132</xdr:row>
      <xdr:rowOff>266700</xdr:rowOff>
    </xdr:from>
    <xdr:to>
      <xdr:col>13</xdr:col>
      <xdr:colOff>76200</xdr:colOff>
      <xdr:row>133</xdr:row>
      <xdr:rowOff>180975</xdr:rowOff>
    </xdr:to>
    <xdr:sp macro="" textlink="">
      <xdr:nvSpPr>
        <xdr:cNvPr id="2624" name="Text Box 1028"/>
        <xdr:cNvSpPr txBox="1">
          <a:spLocks noChangeArrowheads="1"/>
        </xdr:cNvSpPr>
      </xdr:nvSpPr>
      <xdr:spPr>
        <a:xfrm>
          <a:off x="11353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25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26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27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28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29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0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1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2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3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4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5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6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7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8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39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0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1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2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3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4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5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6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7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8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49" name="Text Box 1025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50" name="Text Box 1026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51" name="Text Box 1027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132</xdr:row>
      <xdr:rowOff>266700</xdr:rowOff>
    </xdr:from>
    <xdr:to>
      <xdr:col>14</xdr:col>
      <xdr:colOff>76200</xdr:colOff>
      <xdr:row>133</xdr:row>
      <xdr:rowOff>180975</xdr:rowOff>
    </xdr:to>
    <xdr:sp macro="" textlink="">
      <xdr:nvSpPr>
        <xdr:cNvPr id="2652" name="Text Box 1028"/>
        <xdr:cNvSpPr txBox="1">
          <a:spLocks noChangeArrowheads="1"/>
        </xdr:cNvSpPr>
      </xdr:nvSpPr>
      <xdr:spPr>
        <a:xfrm>
          <a:off x="122396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3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4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5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6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7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8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59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0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1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2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3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4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5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6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7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8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69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0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1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2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3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4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5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6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7" name="Text Box 1025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8" name="Text Box 1026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79" name="Text Box 1027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132</xdr:row>
      <xdr:rowOff>266700</xdr:rowOff>
    </xdr:from>
    <xdr:to>
      <xdr:col>15</xdr:col>
      <xdr:colOff>76200</xdr:colOff>
      <xdr:row>133</xdr:row>
      <xdr:rowOff>180975</xdr:rowOff>
    </xdr:to>
    <xdr:sp macro="" textlink="">
      <xdr:nvSpPr>
        <xdr:cNvPr id="2680" name="Text Box 1028"/>
        <xdr:cNvSpPr txBox="1">
          <a:spLocks noChangeArrowheads="1"/>
        </xdr:cNvSpPr>
      </xdr:nvSpPr>
      <xdr:spPr>
        <a:xfrm>
          <a:off x="131254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1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2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3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4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5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6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7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8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89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0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1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2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3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4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5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6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7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8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699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0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1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2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3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4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5" name="Text Box 1025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6" name="Text Box 1026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7" name="Text Box 1027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923925</xdr:colOff>
      <xdr:row>132</xdr:row>
      <xdr:rowOff>266700</xdr:rowOff>
    </xdr:from>
    <xdr:to>
      <xdr:col>18</xdr:col>
      <xdr:colOff>76200</xdr:colOff>
      <xdr:row>133</xdr:row>
      <xdr:rowOff>180975</xdr:rowOff>
    </xdr:to>
    <xdr:sp macro="" textlink="">
      <xdr:nvSpPr>
        <xdr:cNvPr id="2708" name="Text Box 1028"/>
        <xdr:cNvSpPr txBox="1">
          <a:spLocks noChangeArrowheads="1"/>
        </xdr:cNvSpPr>
      </xdr:nvSpPr>
      <xdr:spPr>
        <a:xfrm>
          <a:off x="156876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09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0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1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2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3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4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5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6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7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8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19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0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1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2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3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4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5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6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7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8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29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0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1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2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3" name="Text Box 1025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4" name="Text Box 1026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5" name="Text Box 1027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781050</xdr:colOff>
      <xdr:row>132</xdr:row>
      <xdr:rowOff>266700</xdr:rowOff>
    </xdr:from>
    <xdr:to>
      <xdr:col>19</xdr:col>
      <xdr:colOff>76200</xdr:colOff>
      <xdr:row>133</xdr:row>
      <xdr:rowOff>180975</xdr:rowOff>
    </xdr:to>
    <xdr:sp macro="" textlink="">
      <xdr:nvSpPr>
        <xdr:cNvPr id="2736" name="Text Box 1028"/>
        <xdr:cNvSpPr txBox="1">
          <a:spLocks noChangeArrowheads="1"/>
        </xdr:cNvSpPr>
      </xdr:nvSpPr>
      <xdr:spPr>
        <a:xfrm>
          <a:off x="164687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37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38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39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0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1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2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3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4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5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6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7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8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49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0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1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2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3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4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5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6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7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8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59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60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61" name="Text Box 1025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62" name="Text Box 1026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63" name="Text Box 1027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132</xdr:row>
      <xdr:rowOff>266700</xdr:rowOff>
    </xdr:from>
    <xdr:to>
      <xdr:col>20</xdr:col>
      <xdr:colOff>76200</xdr:colOff>
      <xdr:row>133</xdr:row>
      <xdr:rowOff>180975</xdr:rowOff>
    </xdr:to>
    <xdr:sp macro="" textlink="">
      <xdr:nvSpPr>
        <xdr:cNvPr id="2764" name="Text Box 1028"/>
        <xdr:cNvSpPr txBox="1">
          <a:spLocks noChangeArrowheads="1"/>
        </xdr:cNvSpPr>
      </xdr:nvSpPr>
      <xdr:spPr>
        <a:xfrm>
          <a:off x="1734502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65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66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67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68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69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0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1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2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3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4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5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6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7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8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79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0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1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2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3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4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5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6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7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8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89" name="Text Box 1025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90" name="Text Box 1026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91" name="Text Box 1027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132</xdr:row>
      <xdr:rowOff>266700</xdr:rowOff>
    </xdr:from>
    <xdr:to>
      <xdr:col>21</xdr:col>
      <xdr:colOff>76200</xdr:colOff>
      <xdr:row>133</xdr:row>
      <xdr:rowOff>180975</xdr:rowOff>
    </xdr:to>
    <xdr:sp macro="" textlink="">
      <xdr:nvSpPr>
        <xdr:cNvPr id="2792" name="Text Box 1028"/>
        <xdr:cNvSpPr txBox="1">
          <a:spLocks noChangeArrowheads="1"/>
        </xdr:cNvSpPr>
      </xdr:nvSpPr>
      <xdr:spPr>
        <a:xfrm>
          <a:off x="182118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3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4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5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6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7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8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799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0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1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2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3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4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5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6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7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8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09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0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1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2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3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4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5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6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7" name="Text Box 1025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8" name="Text Box 1026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19" name="Text Box 1027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132</xdr:row>
      <xdr:rowOff>266700</xdr:rowOff>
    </xdr:from>
    <xdr:to>
      <xdr:col>22</xdr:col>
      <xdr:colOff>76200</xdr:colOff>
      <xdr:row>133</xdr:row>
      <xdr:rowOff>180975</xdr:rowOff>
    </xdr:to>
    <xdr:sp macro="" textlink="">
      <xdr:nvSpPr>
        <xdr:cNvPr id="2820" name="Text Box 1028"/>
        <xdr:cNvSpPr txBox="1">
          <a:spLocks noChangeArrowheads="1"/>
        </xdr:cNvSpPr>
      </xdr:nvSpPr>
      <xdr:spPr>
        <a:xfrm>
          <a:off x="18964275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821" name="Text Box 1025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822" name="Text Box 1026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823" name="Text Box 1027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132</xdr:row>
      <xdr:rowOff>266700</xdr:rowOff>
    </xdr:from>
    <xdr:to>
      <xdr:col>2</xdr:col>
      <xdr:colOff>76200</xdr:colOff>
      <xdr:row>133</xdr:row>
      <xdr:rowOff>180975</xdr:rowOff>
    </xdr:to>
    <xdr:sp macro="" textlink="">
      <xdr:nvSpPr>
        <xdr:cNvPr id="2824" name="Text Box 1028"/>
        <xdr:cNvSpPr txBox="1">
          <a:spLocks noChangeArrowheads="1"/>
        </xdr:cNvSpPr>
      </xdr:nvSpPr>
      <xdr:spPr>
        <a:xfrm>
          <a:off x="209550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25" name="Text Box 103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26" name="Text Box 103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27" name="Text Box 1039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28" name="Text Box 1040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29" name="Text Box 1041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0" name="Text Box 1042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1" name="Text Box 1043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2" name="Text Box 1044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3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4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5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6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7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8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39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0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1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2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3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4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5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6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7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8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49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0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1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2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3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4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5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6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7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8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59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0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1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2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3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4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5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6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7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8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69" name="Text Box 1025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70" name="Text Box 1026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71" name="Text Box 1027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132</xdr:row>
      <xdr:rowOff>266700</xdr:rowOff>
    </xdr:from>
    <xdr:to>
      <xdr:col>16</xdr:col>
      <xdr:colOff>76200</xdr:colOff>
      <xdr:row>133</xdr:row>
      <xdr:rowOff>180975</xdr:rowOff>
    </xdr:to>
    <xdr:sp macro="" textlink="">
      <xdr:nvSpPr>
        <xdr:cNvPr id="2872" name="Text Box 1028"/>
        <xdr:cNvSpPr txBox="1">
          <a:spLocks noChangeArrowheads="1"/>
        </xdr:cNvSpPr>
      </xdr:nvSpPr>
      <xdr:spPr>
        <a:xfrm>
          <a:off x="139255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3" name="Text Box 103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4" name="Text Box 103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5" name="Text Box 1039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6" name="Text Box 1040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7" name="Text Box 1041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8" name="Text Box 1042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79" name="Text Box 1043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0" name="Text Box 1044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1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2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3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4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5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6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7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8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89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0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1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2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3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4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5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6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7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8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899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0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1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2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3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4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5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6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7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8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09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0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1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2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3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4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5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6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7" name="Text Box 1025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8" name="Text Box 1026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19" name="Text Box 1027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132</xdr:row>
      <xdr:rowOff>266700</xdr:rowOff>
    </xdr:from>
    <xdr:to>
      <xdr:col>17</xdr:col>
      <xdr:colOff>76200</xdr:colOff>
      <xdr:row>133</xdr:row>
      <xdr:rowOff>180975</xdr:rowOff>
    </xdr:to>
    <xdr:sp macro="" textlink="">
      <xdr:nvSpPr>
        <xdr:cNvPr id="2920" name="Text Box 1028"/>
        <xdr:cNvSpPr txBox="1">
          <a:spLocks noChangeArrowheads="1"/>
        </xdr:cNvSpPr>
      </xdr:nvSpPr>
      <xdr:spPr>
        <a:xfrm>
          <a:off x="14763750" y="35464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136</xdr:row>
      <xdr:rowOff>266700</xdr:rowOff>
    </xdr:from>
    <xdr:to>
      <xdr:col>2</xdr:col>
      <xdr:colOff>76200</xdr:colOff>
      <xdr:row>137</xdr:row>
      <xdr:rowOff>180975</xdr:rowOff>
    </xdr:to>
    <xdr:sp macro="" textlink="">
      <xdr:nvSpPr>
        <xdr:cNvPr id="2921" name="Text Box 1025"/>
        <xdr:cNvSpPr txBox="1">
          <a:spLocks noChangeArrowheads="1"/>
        </xdr:cNvSpPr>
      </xdr:nvSpPr>
      <xdr:spPr>
        <a:xfrm>
          <a:off x="20955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136</xdr:row>
      <xdr:rowOff>266700</xdr:rowOff>
    </xdr:from>
    <xdr:to>
      <xdr:col>2</xdr:col>
      <xdr:colOff>76200</xdr:colOff>
      <xdr:row>137</xdr:row>
      <xdr:rowOff>180975</xdr:rowOff>
    </xdr:to>
    <xdr:sp macro="" textlink="">
      <xdr:nvSpPr>
        <xdr:cNvPr id="2922" name="Text Box 1026"/>
        <xdr:cNvSpPr txBox="1">
          <a:spLocks noChangeArrowheads="1"/>
        </xdr:cNvSpPr>
      </xdr:nvSpPr>
      <xdr:spPr>
        <a:xfrm>
          <a:off x="20955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136</xdr:row>
      <xdr:rowOff>266700</xdr:rowOff>
    </xdr:from>
    <xdr:to>
      <xdr:col>2</xdr:col>
      <xdr:colOff>76200</xdr:colOff>
      <xdr:row>137</xdr:row>
      <xdr:rowOff>180975</xdr:rowOff>
    </xdr:to>
    <xdr:sp macro="" textlink="">
      <xdr:nvSpPr>
        <xdr:cNvPr id="2923" name="Text Box 1027"/>
        <xdr:cNvSpPr txBox="1">
          <a:spLocks noChangeArrowheads="1"/>
        </xdr:cNvSpPr>
      </xdr:nvSpPr>
      <xdr:spPr>
        <a:xfrm>
          <a:off x="20955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676275</xdr:colOff>
      <xdr:row>136</xdr:row>
      <xdr:rowOff>266700</xdr:rowOff>
    </xdr:from>
    <xdr:to>
      <xdr:col>2</xdr:col>
      <xdr:colOff>76200</xdr:colOff>
      <xdr:row>137</xdr:row>
      <xdr:rowOff>180975</xdr:rowOff>
    </xdr:to>
    <xdr:sp macro="" textlink="">
      <xdr:nvSpPr>
        <xdr:cNvPr id="2924" name="Text Box 1028"/>
        <xdr:cNvSpPr txBox="1">
          <a:spLocks noChangeArrowheads="1"/>
        </xdr:cNvSpPr>
      </xdr:nvSpPr>
      <xdr:spPr>
        <a:xfrm>
          <a:off x="20955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25" name="Text Box 1029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26" name="Text Box 1030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27" name="Text Box 1031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28" name="Text Box 1032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29" name="Text Box 1033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30" name="Text Box 1034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31" name="Text Box 1035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2932" name="Text Box 1036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3" name="Text Box 1037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4" name="Text Box 1038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5" name="Text Box 1039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6" name="Text Box 1040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7" name="Text Box 1041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8" name="Text Box 1042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39" name="Text Box 1043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2940" name="Text Box 1044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2941" name="Text Box 1025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2942" name="Text Box 1026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2943" name="Text Box 1027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2944" name="Text Box 1028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2945" name="Text Box 1025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2946" name="Text Box 1026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2947" name="Text Box 1027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2948" name="Text Box 1028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2949" name="Text Box 1025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2950" name="Text Box 1026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2951" name="Text Box 1027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2952" name="Text Box 1028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2953" name="Text Box 1025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2954" name="Text Box 1026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2955" name="Text Box 1027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2956" name="Text Box 1028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57" name="Text Box 1037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58" name="Text Box 1038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59" name="Text Box 1039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60" name="Text Box 1040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61" name="Text Box 1041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62" name="Text Box 1042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63" name="Text Box 1043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2964" name="Text Box 1044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65" name="Text Box 1037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66" name="Text Box 1038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67" name="Text Box 1039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68" name="Text Box 1040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69" name="Text Box 1041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70" name="Text Box 1042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71" name="Text Box 1043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2972" name="Text Box 1044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3" name="Text Box 1037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4" name="Text Box 1038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5" name="Text Box 1039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6" name="Text Box 1040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7" name="Text Box 1041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8" name="Text Box 1042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79" name="Text Box 1043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2980" name="Text Box 1044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1" name="Text Box 1037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2" name="Text Box 1038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3" name="Text Box 1039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4" name="Text Box 1040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5" name="Text Box 1041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6" name="Text Box 1042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7" name="Text Box 1043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2988" name="Text Box 1044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89" name="Text Box 1037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0" name="Text Box 1038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1" name="Text Box 1039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2" name="Text Box 1040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3" name="Text Box 1041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4" name="Text Box 1042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5" name="Text Box 1043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2996" name="Text Box 1044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2997" name="Text Box 1037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2998" name="Text Box 1038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2999" name="Text Box 1039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00" name="Text Box 1040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01" name="Text Box 1041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02" name="Text Box 1042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03" name="Text Box 1043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04" name="Text Box 1044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05" name="Text Box 1037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06" name="Text Box 1038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07" name="Text Box 1039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08" name="Text Box 1040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09" name="Text Box 1041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10" name="Text Box 1042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11" name="Text Box 1043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012" name="Text Box 1044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3" name="Text Box 1037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4" name="Text Box 1038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5" name="Text Box 1039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6" name="Text Box 1040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7" name="Text Box 1041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8" name="Text Box 1042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19" name="Text Box 1043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020" name="Text Box 1044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1" name="Text Box 1037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2" name="Text Box 1038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3" name="Text Box 1039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4" name="Text Box 1040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5" name="Text Box 1041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6" name="Text Box 1042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7" name="Text Box 1043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028" name="Text Box 1044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29" name="Text Box 1037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0" name="Text Box 1038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1" name="Text Box 1039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2" name="Text Box 1040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3" name="Text Box 1041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4" name="Text Box 1042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5" name="Text Box 1043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036" name="Text Box 1044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37" name="Text Box 1037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38" name="Text Box 1038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39" name="Text Box 1039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40" name="Text Box 1040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41" name="Text Box 1041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42" name="Text Box 1042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43" name="Text Box 1043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44" name="Text Box 1044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136</xdr:row>
      <xdr:rowOff>266700</xdr:rowOff>
    </xdr:from>
    <xdr:to>
      <xdr:col>1</xdr:col>
      <xdr:colOff>76200</xdr:colOff>
      <xdr:row>137</xdr:row>
      <xdr:rowOff>180975</xdr:rowOff>
    </xdr:to>
    <xdr:sp macro="" textlink="">
      <xdr:nvSpPr>
        <xdr:cNvPr id="3045" name="Text Box 1025"/>
        <xdr:cNvSpPr txBox="1">
          <a:spLocks noChangeArrowheads="1"/>
        </xdr:cNvSpPr>
      </xdr:nvSpPr>
      <xdr:spPr>
        <a:xfrm>
          <a:off x="1419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136</xdr:row>
      <xdr:rowOff>266700</xdr:rowOff>
    </xdr:from>
    <xdr:to>
      <xdr:col>1</xdr:col>
      <xdr:colOff>76200</xdr:colOff>
      <xdr:row>137</xdr:row>
      <xdr:rowOff>180975</xdr:rowOff>
    </xdr:to>
    <xdr:sp macro="" textlink="">
      <xdr:nvSpPr>
        <xdr:cNvPr id="3046" name="Text Box 1026"/>
        <xdr:cNvSpPr txBox="1">
          <a:spLocks noChangeArrowheads="1"/>
        </xdr:cNvSpPr>
      </xdr:nvSpPr>
      <xdr:spPr>
        <a:xfrm>
          <a:off x="1419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136</xdr:row>
      <xdr:rowOff>266700</xdr:rowOff>
    </xdr:from>
    <xdr:to>
      <xdr:col>1</xdr:col>
      <xdr:colOff>76200</xdr:colOff>
      <xdr:row>137</xdr:row>
      <xdr:rowOff>180975</xdr:rowOff>
    </xdr:to>
    <xdr:sp macro="" textlink="">
      <xdr:nvSpPr>
        <xdr:cNvPr id="3047" name="Text Box 1027"/>
        <xdr:cNvSpPr txBox="1">
          <a:spLocks noChangeArrowheads="1"/>
        </xdr:cNvSpPr>
      </xdr:nvSpPr>
      <xdr:spPr>
        <a:xfrm>
          <a:off x="1419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1419225</xdr:colOff>
      <xdr:row>136</xdr:row>
      <xdr:rowOff>266700</xdr:rowOff>
    </xdr:from>
    <xdr:to>
      <xdr:col>1</xdr:col>
      <xdr:colOff>76200</xdr:colOff>
      <xdr:row>137</xdr:row>
      <xdr:rowOff>180975</xdr:rowOff>
    </xdr:to>
    <xdr:sp macro="" textlink="">
      <xdr:nvSpPr>
        <xdr:cNvPr id="3048" name="Text Box 1028"/>
        <xdr:cNvSpPr txBox="1">
          <a:spLocks noChangeArrowheads="1"/>
        </xdr:cNvSpPr>
      </xdr:nvSpPr>
      <xdr:spPr>
        <a:xfrm>
          <a:off x="1419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3049" name="Text Box 1025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3050" name="Text Box 1026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3051" name="Text Box 1027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619125</xdr:colOff>
      <xdr:row>136</xdr:row>
      <xdr:rowOff>266700</xdr:rowOff>
    </xdr:from>
    <xdr:to>
      <xdr:col>3</xdr:col>
      <xdr:colOff>76200</xdr:colOff>
      <xdr:row>137</xdr:row>
      <xdr:rowOff>180975</xdr:rowOff>
    </xdr:to>
    <xdr:sp macro="" textlink="">
      <xdr:nvSpPr>
        <xdr:cNvPr id="3052" name="Text Box 1028"/>
        <xdr:cNvSpPr txBox="1">
          <a:spLocks noChangeArrowheads="1"/>
        </xdr:cNvSpPr>
      </xdr:nvSpPr>
      <xdr:spPr>
        <a:xfrm>
          <a:off x="2714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3053" name="Text Box 1025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3054" name="Text Box 1026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3055" name="Text Box 1027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885825</xdr:colOff>
      <xdr:row>136</xdr:row>
      <xdr:rowOff>266700</xdr:rowOff>
    </xdr:from>
    <xdr:to>
      <xdr:col>4</xdr:col>
      <xdr:colOff>76200</xdr:colOff>
      <xdr:row>137</xdr:row>
      <xdr:rowOff>180975</xdr:rowOff>
    </xdr:to>
    <xdr:sp macro="" textlink="">
      <xdr:nvSpPr>
        <xdr:cNvPr id="3056" name="Text Box 1028"/>
        <xdr:cNvSpPr txBox="1">
          <a:spLocks noChangeArrowheads="1"/>
        </xdr:cNvSpPr>
      </xdr:nvSpPr>
      <xdr:spPr>
        <a:xfrm>
          <a:off x="3600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057" name="Text Box 1025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058" name="Text Box 1026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059" name="Text Box 1027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060" name="Text Box 1028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061" name="Text Box 1025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062" name="Text Box 1026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063" name="Text Box 1027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064" name="Text Box 1028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065" name="Text Box 1025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066" name="Text Box 1026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067" name="Text Box 1027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068" name="Text Box 1028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069" name="Text Box 1025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070" name="Text Box 1026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071" name="Text Box 1027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072" name="Text Box 1028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073" name="Text Box 1025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074" name="Text Box 1026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075" name="Text Box 1027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076" name="Text Box 1028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077" name="Text Box 1025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078" name="Text Box 1026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079" name="Text Box 1027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080" name="Text Box 1028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081" name="Text Box 1025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082" name="Text Box 1026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083" name="Text Box 1027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084" name="Text Box 1028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085" name="Text Box 1025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086" name="Text Box 1026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087" name="Text Box 1027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088" name="Text Box 1028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089" name="Text Box 1025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090" name="Text Box 1026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091" name="Text Box 1027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092" name="Text Box 1028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93" name="Text Box 1025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94" name="Text Box 1026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95" name="Text Box 1027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096" name="Text Box 1028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97" name="Text Box 1025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98" name="Text Box 1026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099" name="Text Box 1027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100" name="Text Box 1028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101" name="Text Box 1025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102" name="Text Box 1026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103" name="Text Box 1027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104" name="Text Box 1028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105" name="Text Box 1025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106" name="Text Box 1026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107" name="Text Box 1027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108" name="Text Box 1028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109" name="Text Box 1025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110" name="Text Box 1026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111" name="Text Box 1027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112" name="Text Box 1028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113" name="Text Box 1025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114" name="Text Box 1026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115" name="Text Box 1027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116" name="Text Box 1028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17" name="Text Box 1025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18" name="Text Box 1026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19" name="Text Box 1027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20" name="Text Box 1028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21" name="Text Box 1025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22" name="Text Box 1026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23" name="Text Box 1027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971550</xdr:colOff>
      <xdr:row>136</xdr:row>
      <xdr:rowOff>266700</xdr:rowOff>
    </xdr:from>
    <xdr:to>
      <xdr:col>5</xdr:col>
      <xdr:colOff>76200</xdr:colOff>
      <xdr:row>137</xdr:row>
      <xdr:rowOff>180975</xdr:rowOff>
    </xdr:to>
    <xdr:sp macro="" textlink="">
      <xdr:nvSpPr>
        <xdr:cNvPr id="3124" name="Text Box 1028"/>
        <xdr:cNvSpPr txBox="1">
          <a:spLocks noChangeArrowheads="1"/>
        </xdr:cNvSpPr>
      </xdr:nvSpPr>
      <xdr:spPr>
        <a:xfrm>
          <a:off x="45720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25" name="Text Box 1025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26" name="Text Box 1026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27" name="Text Box 1027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28" name="Text Box 1028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29" name="Text Box 1025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30" name="Text Box 1026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31" name="Text Box 1027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923925</xdr:colOff>
      <xdr:row>136</xdr:row>
      <xdr:rowOff>266700</xdr:rowOff>
    </xdr:from>
    <xdr:to>
      <xdr:col>6</xdr:col>
      <xdr:colOff>76200</xdr:colOff>
      <xdr:row>137</xdr:row>
      <xdr:rowOff>180975</xdr:rowOff>
    </xdr:to>
    <xdr:sp macro="" textlink="">
      <xdr:nvSpPr>
        <xdr:cNvPr id="3132" name="Text Box 1028"/>
        <xdr:cNvSpPr txBox="1">
          <a:spLocks noChangeArrowheads="1"/>
        </xdr:cNvSpPr>
      </xdr:nvSpPr>
      <xdr:spPr>
        <a:xfrm>
          <a:off x="5495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3" name="Text Box 1025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4" name="Text Box 1026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5" name="Text Box 1027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6" name="Text Box 1028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7" name="Text Box 1025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8" name="Text Box 1026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39" name="Text Box 1027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876300</xdr:colOff>
      <xdr:row>136</xdr:row>
      <xdr:rowOff>266700</xdr:rowOff>
    </xdr:from>
    <xdr:to>
      <xdr:col>7</xdr:col>
      <xdr:colOff>76200</xdr:colOff>
      <xdr:row>137</xdr:row>
      <xdr:rowOff>180975</xdr:rowOff>
    </xdr:to>
    <xdr:sp macro="" textlink="">
      <xdr:nvSpPr>
        <xdr:cNvPr id="3140" name="Text Box 1028"/>
        <xdr:cNvSpPr txBox="1">
          <a:spLocks noChangeArrowheads="1"/>
        </xdr:cNvSpPr>
      </xdr:nvSpPr>
      <xdr:spPr>
        <a:xfrm>
          <a:off x="63722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1" name="Text Box 1025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2" name="Text Box 1026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3" name="Text Box 1027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4" name="Text Box 1028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5" name="Text Box 1025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6" name="Text Box 1026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7" name="Text Box 1027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647700</xdr:colOff>
      <xdr:row>136</xdr:row>
      <xdr:rowOff>266700</xdr:rowOff>
    </xdr:from>
    <xdr:to>
      <xdr:col>8</xdr:col>
      <xdr:colOff>76200</xdr:colOff>
      <xdr:row>137</xdr:row>
      <xdr:rowOff>180975</xdr:rowOff>
    </xdr:to>
    <xdr:sp macro="" textlink="">
      <xdr:nvSpPr>
        <xdr:cNvPr id="3148" name="Text Box 1028"/>
        <xdr:cNvSpPr txBox="1">
          <a:spLocks noChangeArrowheads="1"/>
        </xdr:cNvSpPr>
      </xdr:nvSpPr>
      <xdr:spPr>
        <a:xfrm>
          <a:off x="70199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49" name="Text Box 1025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0" name="Text Box 1026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1" name="Text Box 1027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2" name="Text Box 1028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3" name="Text Box 1025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4" name="Text Box 1026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5" name="Text Box 1027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676275</xdr:colOff>
      <xdr:row>136</xdr:row>
      <xdr:rowOff>266700</xdr:rowOff>
    </xdr:from>
    <xdr:to>
      <xdr:col>9</xdr:col>
      <xdr:colOff>76200</xdr:colOff>
      <xdr:row>137</xdr:row>
      <xdr:rowOff>180975</xdr:rowOff>
    </xdr:to>
    <xdr:sp macro="" textlink="">
      <xdr:nvSpPr>
        <xdr:cNvPr id="3156" name="Text Box 1028"/>
        <xdr:cNvSpPr txBox="1">
          <a:spLocks noChangeArrowheads="1"/>
        </xdr:cNvSpPr>
      </xdr:nvSpPr>
      <xdr:spPr>
        <a:xfrm>
          <a:off x="76962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57" name="Text Box 1025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58" name="Text Box 1026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59" name="Text Box 1027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60" name="Text Box 1028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61" name="Text Box 1025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62" name="Text Box 1026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63" name="Text Box 1027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866775</xdr:colOff>
      <xdr:row>136</xdr:row>
      <xdr:rowOff>266700</xdr:rowOff>
    </xdr:from>
    <xdr:to>
      <xdr:col>10</xdr:col>
      <xdr:colOff>76200</xdr:colOff>
      <xdr:row>137</xdr:row>
      <xdr:rowOff>180975</xdr:rowOff>
    </xdr:to>
    <xdr:sp macro="" textlink="">
      <xdr:nvSpPr>
        <xdr:cNvPr id="3164" name="Text Box 1028"/>
        <xdr:cNvSpPr txBox="1">
          <a:spLocks noChangeArrowheads="1"/>
        </xdr:cNvSpPr>
      </xdr:nvSpPr>
      <xdr:spPr>
        <a:xfrm>
          <a:off x="85629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65" name="Text Box 1025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66" name="Text Box 1026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67" name="Text Box 1027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68" name="Text Box 1028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69" name="Text Box 1025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70" name="Text Box 1026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71" name="Text Box 1027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1000125</xdr:colOff>
      <xdr:row>136</xdr:row>
      <xdr:rowOff>266700</xdr:rowOff>
    </xdr:from>
    <xdr:to>
      <xdr:col>11</xdr:col>
      <xdr:colOff>76200</xdr:colOff>
      <xdr:row>137</xdr:row>
      <xdr:rowOff>180975</xdr:rowOff>
    </xdr:to>
    <xdr:sp macro="" textlink="">
      <xdr:nvSpPr>
        <xdr:cNvPr id="3172" name="Text Box 1028"/>
        <xdr:cNvSpPr txBox="1">
          <a:spLocks noChangeArrowheads="1"/>
        </xdr:cNvSpPr>
      </xdr:nvSpPr>
      <xdr:spPr>
        <a:xfrm>
          <a:off x="95631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3" name="Text Box 1025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4" name="Text Box 1026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5" name="Text Box 1027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6" name="Text Box 1028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7" name="Text Box 1025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8" name="Text Box 1026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79" name="Text Box 1027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828675</xdr:colOff>
      <xdr:row>136</xdr:row>
      <xdr:rowOff>266700</xdr:rowOff>
    </xdr:from>
    <xdr:to>
      <xdr:col>12</xdr:col>
      <xdr:colOff>76200</xdr:colOff>
      <xdr:row>137</xdr:row>
      <xdr:rowOff>180975</xdr:rowOff>
    </xdr:to>
    <xdr:sp macro="" textlink="">
      <xdr:nvSpPr>
        <xdr:cNvPr id="3180" name="Text Box 1028"/>
        <xdr:cNvSpPr txBox="1">
          <a:spLocks noChangeArrowheads="1"/>
        </xdr:cNvSpPr>
      </xdr:nvSpPr>
      <xdr:spPr>
        <a:xfrm>
          <a:off x="103917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1" name="Text Box 1025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2" name="Text Box 1026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3" name="Text Box 1027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4" name="Text Box 1028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5" name="Text Box 1025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6" name="Text Box 1026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7" name="Text Box 1027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962025</xdr:colOff>
      <xdr:row>136</xdr:row>
      <xdr:rowOff>266700</xdr:rowOff>
    </xdr:from>
    <xdr:to>
      <xdr:col>13</xdr:col>
      <xdr:colOff>76200</xdr:colOff>
      <xdr:row>137</xdr:row>
      <xdr:rowOff>180975</xdr:rowOff>
    </xdr:to>
    <xdr:sp macro="" textlink="">
      <xdr:nvSpPr>
        <xdr:cNvPr id="3188" name="Text Box 1028"/>
        <xdr:cNvSpPr txBox="1">
          <a:spLocks noChangeArrowheads="1"/>
        </xdr:cNvSpPr>
      </xdr:nvSpPr>
      <xdr:spPr>
        <a:xfrm>
          <a:off x="11353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89" name="Text Box 1025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0" name="Text Box 1026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1" name="Text Box 1027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2" name="Text Box 1028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3" name="Text Box 1025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4" name="Text Box 1026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5" name="Text Box 1027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885825</xdr:colOff>
      <xdr:row>136</xdr:row>
      <xdr:rowOff>266700</xdr:rowOff>
    </xdr:from>
    <xdr:to>
      <xdr:col>14</xdr:col>
      <xdr:colOff>76200</xdr:colOff>
      <xdr:row>137</xdr:row>
      <xdr:rowOff>180975</xdr:rowOff>
    </xdr:to>
    <xdr:sp macro="" textlink="">
      <xdr:nvSpPr>
        <xdr:cNvPr id="3196" name="Text Box 1028"/>
        <xdr:cNvSpPr txBox="1">
          <a:spLocks noChangeArrowheads="1"/>
        </xdr:cNvSpPr>
      </xdr:nvSpPr>
      <xdr:spPr>
        <a:xfrm>
          <a:off x="122396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197" name="Text Box 1025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198" name="Text Box 1026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199" name="Text Box 1027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200" name="Text Box 1028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201" name="Text Box 1025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202" name="Text Box 1026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203" name="Text Box 1027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885825</xdr:colOff>
      <xdr:row>136</xdr:row>
      <xdr:rowOff>266700</xdr:rowOff>
    </xdr:from>
    <xdr:to>
      <xdr:col>15</xdr:col>
      <xdr:colOff>76200</xdr:colOff>
      <xdr:row>137</xdr:row>
      <xdr:rowOff>180975</xdr:rowOff>
    </xdr:to>
    <xdr:sp macro="" textlink="">
      <xdr:nvSpPr>
        <xdr:cNvPr id="3204" name="Text Box 1028"/>
        <xdr:cNvSpPr txBox="1">
          <a:spLocks noChangeArrowheads="1"/>
        </xdr:cNvSpPr>
      </xdr:nvSpPr>
      <xdr:spPr>
        <a:xfrm>
          <a:off x="131254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05" name="Text Box 1025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06" name="Text Box 1026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07" name="Text Box 1027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08" name="Text Box 1028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09" name="Text Box 1025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10" name="Text Box 1026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11" name="Text Box 1027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800100</xdr:colOff>
      <xdr:row>136</xdr:row>
      <xdr:rowOff>266700</xdr:rowOff>
    </xdr:from>
    <xdr:to>
      <xdr:col>16</xdr:col>
      <xdr:colOff>76200</xdr:colOff>
      <xdr:row>137</xdr:row>
      <xdr:rowOff>180975</xdr:rowOff>
    </xdr:to>
    <xdr:sp macro="" textlink="">
      <xdr:nvSpPr>
        <xdr:cNvPr id="3212" name="Text Box 1028"/>
        <xdr:cNvSpPr txBox="1">
          <a:spLocks noChangeArrowheads="1"/>
        </xdr:cNvSpPr>
      </xdr:nvSpPr>
      <xdr:spPr>
        <a:xfrm>
          <a:off x="139255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3" name="Text Box 1025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4" name="Text Box 1026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5" name="Text Box 1027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6" name="Text Box 1028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7" name="Text Box 1025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8" name="Text Box 1026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19" name="Text Box 1027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838200</xdr:colOff>
      <xdr:row>136</xdr:row>
      <xdr:rowOff>266700</xdr:rowOff>
    </xdr:from>
    <xdr:to>
      <xdr:col>17</xdr:col>
      <xdr:colOff>76200</xdr:colOff>
      <xdr:row>137</xdr:row>
      <xdr:rowOff>180975</xdr:rowOff>
    </xdr:to>
    <xdr:sp macro="" textlink="">
      <xdr:nvSpPr>
        <xdr:cNvPr id="3220" name="Text Box 1028"/>
        <xdr:cNvSpPr txBox="1">
          <a:spLocks noChangeArrowheads="1"/>
        </xdr:cNvSpPr>
      </xdr:nvSpPr>
      <xdr:spPr>
        <a:xfrm>
          <a:off x="1476375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1" name="Text Box 1025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2" name="Text Box 1026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3" name="Text Box 1027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4" name="Text Box 1028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5" name="Text Box 1025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6" name="Text Box 1026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7" name="Text Box 1027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876300</xdr:colOff>
      <xdr:row>136</xdr:row>
      <xdr:rowOff>266700</xdr:rowOff>
    </xdr:from>
    <xdr:to>
      <xdr:col>20</xdr:col>
      <xdr:colOff>76200</xdr:colOff>
      <xdr:row>137</xdr:row>
      <xdr:rowOff>180975</xdr:rowOff>
    </xdr:to>
    <xdr:sp macro="" textlink="">
      <xdr:nvSpPr>
        <xdr:cNvPr id="3228" name="Text Box 1028"/>
        <xdr:cNvSpPr txBox="1">
          <a:spLocks noChangeArrowheads="1"/>
        </xdr:cNvSpPr>
      </xdr:nvSpPr>
      <xdr:spPr>
        <a:xfrm>
          <a:off x="1734502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29" name="Text Box 1025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0" name="Text Box 1026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1" name="Text Box 1027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2" name="Text Box 1028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3" name="Text Box 1025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4" name="Text Box 1026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5" name="Text Box 1027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866775</xdr:colOff>
      <xdr:row>136</xdr:row>
      <xdr:rowOff>266700</xdr:rowOff>
    </xdr:from>
    <xdr:to>
      <xdr:col>21</xdr:col>
      <xdr:colOff>76200</xdr:colOff>
      <xdr:row>137</xdr:row>
      <xdr:rowOff>180975</xdr:rowOff>
    </xdr:to>
    <xdr:sp macro="" textlink="">
      <xdr:nvSpPr>
        <xdr:cNvPr id="3236" name="Text Box 1028"/>
        <xdr:cNvSpPr txBox="1">
          <a:spLocks noChangeArrowheads="1"/>
        </xdr:cNvSpPr>
      </xdr:nvSpPr>
      <xdr:spPr>
        <a:xfrm>
          <a:off x="18211800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37" name="Text Box 1037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38" name="Text Box 1038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39" name="Text Box 1039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0" name="Text Box 1040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1" name="Text Box 1041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2" name="Text Box 1042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3" name="Text Box 1043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4" name="Text Box 1044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5" name="Text Box 1025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6" name="Text Box 1026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7" name="Text Box 1027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8" name="Text Box 1028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49" name="Text Box 1025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0" name="Text Box 1026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1" name="Text Box 1027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2" name="Text Box 1028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3" name="Text Box 1025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4" name="Text Box 1026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5" name="Text Box 1027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752475</xdr:colOff>
      <xdr:row>136</xdr:row>
      <xdr:rowOff>266700</xdr:rowOff>
    </xdr:from>
    <xdr:to>
      <xdr:col>22</xdr:col>
      <xdr:colOff>76200</xdr:colOff>
      <xdr:row>137</xdr:row>
      <xdr:rowOff>180975</xdr:rowOff>
    </xdr:to>
    <xdr:sp macro="" textlink="">
      <xdr:nvSpPr>
        <xdr:cNvPr id="3256" name="Text Box 1028"/>
        <xdr:cNvSpPr txBox="1">
          <a:spLocks noChangeArrowheads="1"/>
        </xdr:cNvSpPr>
      </xdr:nvSpPr>
      <xdr:spPr>
        <a:xfrm>
          <a:off x="18964275" y="365309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097" name="Text Box 1025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098" name="Text Box 1026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099" name="Text Box 1027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100" name="Text Box 1028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1" name="Text Box 1029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2" name="Text Box 1030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3" name="Text Box 1031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4" name="Text Box 1032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5" name="Text Box 1033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6" name="Text Box 1034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7" name="Text Box 103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108" name="Text Box 103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09" name="Text Box 103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0" name="Text Box 103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1" name="Text Box 1039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2" name="Text Box 1040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3" name="Text Box 1041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4" name="Text Box 1042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5" name="Text Box 1043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116" name="Text Box 1044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117" name="Text Box 1025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118" name="Text Box 1026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119" name="Text Box 1027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120" name="Text Box 1028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121" name="Text Box 1025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122" name="Text Box 1026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123" name="Text Box 1027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124" name="Text Box 1028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125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126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127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128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129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130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131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132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3" name="Text Box 103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4" name="Text Box 103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5" name="Text Box 1039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6" name="Text Box 1040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7" name="Text Box 1041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8" name="Text Box 1042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39" name="Text Box 1043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140" name="Text Box 1044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1" name="Text Box 103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2" name="Text Box 103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3" name="Text Box 1039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4" name="Text Box 1040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5" name="Text Box 1041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6" name="Text Box 1042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7" name="Text Box 1043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148" name="Text Box 1044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49" name="Text Box 103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0" name="Text Box 103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1" name="Text Box 1039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2" name="Text Box 1040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3" name="Text Box 1041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4" name="Text Box 1042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5" name="Text Box 1043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156" name="Text Box 1044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57" name="Text Box 103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58" name="Text Box 103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59" name="Text Box 1039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60" name="Text Box 1040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61" name="Text Box 1041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62" name="Text Box 1042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63" name="Text Box 1043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164" name="Text Box 1044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65" name="Text Box 103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66" name="Text Box 103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67" name="Text Box 1039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68" name="Text Box 1040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69" name="Text Box 1041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70" name="Text Box 1042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71" name="Text Box 1043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172" name="Text Box 1044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3" name="Text Box 103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4" name="Text Box 103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5" name="Text Box 1039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6" name="Text Box 1040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7" name="Text Box 1041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8" name="Text Box 1042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79" name="Text Box 1043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180" name="Text Box 1044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1" name="Text Box 103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2" name="Text Box 103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3" name="Text Box 1039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4" name="Text Box 1040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5" name="Text Box 1041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6" name="Text Box 1042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7" name="Text Box 1043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188" name="Text Box 1044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89" name="Text Box 103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0" name="Text Box 103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1" name="Text Box 1039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2" name="Text Box 1040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3" name="Text Box 1041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4" name="Text Box 1042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5" name="Text Box 1043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196" name="Text Box 1044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197" name="Text Box 103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198" name="Text Box 103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199" name="Text Box 1039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00" name="Text Box 1040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01" name="Text Box 1041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02" name="Text Box 1042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03" name="Text Box 1043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04" name="Text Box 1044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05" name="Text Box 103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06" name="Text Box 103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07" name="Text Box 1039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08" name="Text Box 1040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09" name="Text Box 1041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10" name="Text Box 1042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11" name="Text Box 1043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12" name="Text Box 1044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3" name="Text Box 103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4" name="Text Box 103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5" name="Text Box 1039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6" name="Text Box 1040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7" name="Text Box 1041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8" name="Text Box 1042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19" name="Text Box 1043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20" name="Text Box 1044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76200</xdr:colOff>
      <xdr:row>131</xdr:row>
      <xdr:rowOff>180975</xdr:rowOff>
    </xdr:to>
    <xdr:sp macro="" textlink="">
      <xdr:nvSpPr>
        <xdr:cNvPr id="4221" name="Text Box 1025"/>
        <xdr:cNvSpPr txBox="1">
          <a:spLocks noChangeArrowheads="1"/>
        </xdr:cNvSpPr>
      </xdr:nvSpPr>
      <xdr:spPr>
        <a:xfrm>
          <a:off x="1419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76200</xdr:colOff>
      <xdr:row>131</xdr:row>
      <xdr:rowOff>180975</xdr:rowOff>
    </xdr:to>
    <xdr:sp macro="" textlink="">
      <xdr:nvSpPr>
        <xdr:cNvPr id="4222" name="Text Box 1026"/>
        <xdr:cNvSpPr txBox="1">
          <a:spLocks noChangeArrowheads="1"/>
        </xdr:cNvSpPr>
      </xdr:nvSpPr>
      <xdr:spPr>
        <a:xfrm>
          <a:off x="1419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76200</xdr:colOff>
      <xdr:row>131</xdr:row>
      <xdr:rowOff>180975</xdr:rowOff>
    </xdr:to>
    <xdr:sp macro="" textlink="">
      <xdr:nvSpPr>
        <xdr:cNvPr id="4223" name="Text Box 1027"/>
        <xdr:cNvSpPr txBox="1">
          <a:spLocks noChangeArrowheads="1"/>
        </xdr:cNvSpPr>
      </xdr:nvSpPr>
      <xdr:spPr>
        <a:xfrm>
          <a:off x="1419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76200</xdr:colOff>
      <xdr:row>131</xdr:row>
      <xdr:rowOff>180975</xdr:rowOff>
    </xdr:to>
    <xdr:sp macro="" textlink="">
      <xdr:nvSpPr>
        <xdr:cNvPr id="4224" name="Text Box 1028"/>
        <xdr:cNvSpPr txBox="1">
          <a:spLocks noChangeArrowheads="1"/>
        </xdr:cNvSpPr>
      </xdr:nvSpPr>
      <xdr:spPr>
        <a:xfrm>
          <a:off x="1419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225" name="Text Box 1025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226" name="Text Box 1026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227" name="Text Box 1027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228" name="Text Box 1028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229" name="Text Box 1025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230" name="Text Box 1026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231" name="Text Box 1027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232" name="Text Box 1028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33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34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35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36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237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238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239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240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241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242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243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244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245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246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247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248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249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250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251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252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253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254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255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256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257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258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259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260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261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262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263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264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265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266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267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268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69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70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71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272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273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274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275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276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277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278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279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280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281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282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283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284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85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86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87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288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89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90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91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292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3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4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5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6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7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8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299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300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1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2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3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4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5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6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7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308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09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0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1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2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3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4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5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316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17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18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19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20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21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22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23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324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25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26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27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28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29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30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31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332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3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4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5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6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7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8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39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340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1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2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3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4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5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6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7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348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49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0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1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2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3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4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5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356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57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58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59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60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61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62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63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364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65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66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67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68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69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70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71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372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3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4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5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6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7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8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79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380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1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2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3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4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5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6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7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388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89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0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1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2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3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4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5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396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397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398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399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400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401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402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403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404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05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06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07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08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09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10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11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412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3" name="Text Box 103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4" name="Text Box 103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5" name="Text Box 1039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6" name="Text Box 1040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7" name="Text Box 1041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8" name="Text Box 1042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19" name="Text Box 1043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0" name="Text Box 1044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1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2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3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4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5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6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7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8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29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30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31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432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433" name="Text Box 1025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434" name="Text Box 1026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435" name="Text Box 1027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436" name="Text Box 1028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437" name="Text Box 1025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438" name="Text Box 1026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439" name="Text Box 1027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</xdr:colOff>
      <xdr:row>131</xdr:row>
      <xdr:rowOff>180975</xdr:rowOff>
    </xdr:to>
    <xdr:sp macro="" textlink="">
      <xdr:nvSpPr>
        <xdr:cNvPr id="4440" name="Text Box 1028"/>
        <xdr:cNvSpPr txBox="1">
          <a:spLocks noChangeArrowheads="1"/>
        </xdr:cNvSpPr>
      </xdr:nvSpPr>
      <xdr:spPr>
        <a:xfrm>
          <a:off x="2714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1" name="Text Box 1025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2" name="Text Box 1026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3" name="Text Box 1027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4" name="Text Box 1028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5" name="Text Box 1025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6" name="Text Box 1026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7" name="Text Box 1027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8" name="Text Box 1028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49" name="Text Box 1025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50" name="Text Box 1026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51" name="Text Box 1027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131</xdr:row>
      <xdr:rowOff>180975</xdr:rowOff>
    </xdr:to>
    <xdr:sp macro="" textlink="">
      <xdr:nvSpPr>
        <xdr:cNvPr id="4452" name="Text Box 1028"/>
        <xdr:cNvSpPr txBox="1">
          <a:spLocks noChangeArrowheads="1"/>
        </xdr:cNvSpPr>
      </xdr:nvSpPr>
      <xdr:spPr>
        <a:xfrm>
          <a:off x="3600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3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4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5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6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7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8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59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60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61" name="Text Box 1025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62" name="Text Box 1026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63" name="Text Box 1027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180975</xdr:rowOff>
    </xdr:to>
    <xdr:sp macro="" textlink="">
      <xdr:nvSpPr>
        <xdr:cNvPr id="4464" name="Text Box 1028"/>
        <xdr:cNvSpPr txBox="1">
          <a:spLocks noChangeArrowheads="1"/>
        </xdr:cNvSpPr>
      </xdr:nvSpPr>
      <xdr:spPr>
        <a:xfrm>
          <a:off x="45720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65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66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67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68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69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0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1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2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3" name="Text Box 1025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4" name="Text Box 1026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5" name="Text Box 1027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131</xdr:row>
      <xdr:rowOff>180975</xdr:rowOff>
    </xdr:to>
    <xdr:sp macro="" textlink="">
      <xdr:nvSpPr>
        <xdr:cNvPr id="4476" name="Text Box 1028"/>
        <xdr:cNvSpPr txBox="1">
          <a:spLocks noChangeArrowheads="1"/>
        </xdr:cNvSpPr>
      </xdr:nvSpPr>
      <xdr:spPr>
        <a:xfrm>
          <a:off x="5495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77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78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79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0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1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2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3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4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5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6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7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8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89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0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1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2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3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4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5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6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7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8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499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500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501" name="Text Box 1025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502" name="Text Box 1026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503" name="Text Box 1027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76200</xdr:colOff>
      <xdr:row>131</xdr:row>
      <xdr:rowOff>180975</xdr:rowOff>
    </xdr:to>
    <xdr:sp macro="" textlink="">
      <xdr:nvSpPr>
        <xdr:cNvPr id="4504" name="Text Box 1028"/>
        <xdr:cNvSpPr txBox="1">
          <a:spLocks noChangeArrowheads="1"/>
        </xdr:cNvSpPr>
      </xdr:nvSpPr>
      <xdr:spPr>
        <a:xfrm>
          <a:off x="63722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05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06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07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08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09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0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1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2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3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4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5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6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7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8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19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0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1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2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3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4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5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6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7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8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29" name="Text Box 1025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30" name="Text Box 1026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31" name="Text Box 1027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76200</xdr:colOff>
      <xdr:row>131</xdr:row>
      <xdr:rowOff>180975</xdr:rowOff>
    </xdr:to>
    <xdr:sp macro="" textlink="">
      <xdr:nvSpPr>
        <xdr:cNvPr id="4532" name="Text Box 1028"/>
        <xdr:cNvSpPr txBox="1">
          <a:spLocks noChangeArrowheads="1"/>
        </xdr:cNvSpPr>
      </xdr:nvSpPr>
      <xdr:spPr>
        <a:xfrm>
          <a:off x="70199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3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4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5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6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7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8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39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0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1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2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3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4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5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6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7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8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49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0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1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2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3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4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5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6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7" name="Text Box 1025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8" name="Text Box 1026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59" name="Text Box 1027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76200</xdr:colOff>
      <xdr:row>131</xdr:row>
      <xdr:rowOff>180975</xdr:rowOff>
    </xdr:to>
    <xdr:sp macro="" textlink="">
      <xdr:nvSpPr>
        <xdr:cNvPr id="4560" name="Text Box 1028"/>
        <xdr:cNvSpPr txBox="1">
          <a:spLocks noChangeArrowheads="1"/>
        </xdr:cNvSpPr>
      </xdr:nvSpPr>
      <xdr:spPr>
        <a:xfrm>
          <a:off x="76962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1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2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3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4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5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6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7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8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69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0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1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2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3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4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5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6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7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8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79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0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1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2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3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4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5" name="Text Box 1025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6" name="Text Box 1026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7" name="Text Box 1027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76200</xdr:colOff>
      <xdr:row>131</xdr:row>
      <xdr:rowOff>180975</xdr:rowOff>
    </xdr:to>
    <xdr:sp macro="" textlink="">
      <xdr:nvSpPr>
        <xdr:cNvPr id="4588" name="Text Box 1028"/>
        <xdr:cNvSpPr txBox="1">
          <a:spLocks noChangeArrowheads="1"/>
        </xdr:cNvSpPr>
      </xdr:nvSpPr>
      <xdr:spPr>
        <a:xfrm>
          <a:off x="85629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89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0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1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2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3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4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5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6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7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8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599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0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1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2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3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4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5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6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7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8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09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0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1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2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3" name="Text Box 1025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4" name="Text Box 1026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5" name="Text Box 1027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11</xdr:col>
      <xdr:colOff>76200</xdr:colOff>
      <xdr:row>131</xdr:row>
      <xdr:rowOff>180975</xdr:rowOff>
    </xdr:to>
    <xdr:sp macro="" textlink="">
      <xdr:nvSpPr>
        <xdr:cNvPr id="4616" name="Text Box 1028"/>
        <xdr:cNvSpPr txBox="1">
          <a:spLocks noChangeArrowheads="1"/>
        </xdr:cNvSpPr>
      </xdr:nvSpPr>
      <xdr:spPr>
        <a:xfrm>
          <a:off x="95631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17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18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19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0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1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2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3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4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5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6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7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8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29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0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1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2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3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4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5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6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7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8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39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40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41" name="Text Box 1025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42" name="Text Box 1026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43" name="Text Box 1027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131</xdr:row>
      <xdr:rowOff>0</xdr:rowOff>
    </xdr:from>
    <xdr:to>
      <xdr:col>12</xdr:col>
      <xdr:colOff>76200</xdr:colOff>
      <xdr:row>131</xdr:row>
      <xdr:rowOff>180975</xdr:rowOff>
    </xdr:to>
    <xdr:sp macro="" textlink="">
      <xdr:nvSpPr>
        <xdr:cNvPr id="4644" name="Text Box 1028"/>
        <xdr:cNvSpPr txBox="1">
          <a:spLocks noChangeArrowheads="1"/>
        </xdr:cNvSpPr>
      </xdr:nvSpPr>
      <xdr:spPr>
        <a:xfrm>
          <a:off x="103917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45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46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47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48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49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0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1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2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3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4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5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6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7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8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59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0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1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2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3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4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5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6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7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8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69" name="Text Box 1025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70" name="Text Box 1026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71" name="Text Box 1027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76200</xdr:colOff>
      <xdr:row>131</xdr:row>
      <xdr:rowOff>180975</xdr:rowOff>
    </xdr:to>
    <xdr:sp macro="" textlink="">
      <xdr:nvSpPr>
        <xdr:cNvPr id="4672" name="Text Box 1028"/>
        <xdr:cNvSpPr txBox="1">
          <a:spLocks noChangeArrowheads="1"/>
        </xdr:cNvSpPr>
      </xdr:nvSpPr>
      <xdr:spPr>
        <a:xfrm>
          <a:off x="11353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3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4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5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6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7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8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79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0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1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2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3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4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5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6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7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8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89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0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1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2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3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4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5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6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7" name="Text Box 1025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8" name="Text Box 1026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699" name="Text Box 1027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76200</xdr:colOff>
      <xdr:row>131</xdr:row>
      <xdr:rowOff>180975</xdr:rowOff>
    </xdr:to>
    <xdr:sp macro="" textlink="">
      <xdr:nvSpPr>
        <xdr:cNvPr id="4700" name="Text Box 1028"/>
        <xdr:cNvSpPr txBox="1">
          <a:spLocks noChangeArrowheads="1"/>
        </xdr:cNvSpPr>
      </xdr:nvSpPr>
      <xdr:spPr>
        <a:xfrm>
          <a:off x="122396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1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2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3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4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5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6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7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8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09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0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1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2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3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4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5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6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7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8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19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0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1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2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3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4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5" name="Text Box 1025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6" name="Text Box 1026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7" name="Text Box 1027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76200</xdr:colOff>
      <xdr:row>131</xdr:row>
      <xdr:rowOff>180975</xdr:rowOff>
    </xdr:to>
    <xdr:sp macro="" textlink="">
      <xdr:nvSpPr>
        <xdr:cNvPr id="4728" name="Text Box 1028"/>
        <xdr:cNvSpPr txBox="1">
          <a:spLocks noChangeArrowheads="1"/>
        </xdr:cNvSpPr>
      </xdr:nvSpPr>
      <xdr:spPr>
        <a:xfrm>
          <a:off x="131254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29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0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1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2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3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4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5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6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7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8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39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0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1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2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3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4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5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6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7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8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49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0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1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2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3" name="Text Box 1025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4" name="Text Box 1026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5" name="Text Box 1027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18</xdr:col>
      <xdr:colOff>0</xdr:colOff>
      <xdr:row>131</xdr:row>
      <xdr:rowOff>0</xdr:rowOff>
    </xdr:from>
    <xdr:to>
      <xdr:col>18</xdr:col>
      <xdr:colOff>76200</xdr:colOff>
      <xdr:row>131</xdr:row>
      <xdr:rowOff>180975</xdr:rowOff>
    </xdr:to>
    <xdr:sp macro="" textlink="">
      <xdr:nvSpPr>
        <xdr:cNvPr id="4756" name="Text Box 1028"/>
        <xdr:cNvSpPr txBox="1">
          <a:spLocks noChangeArrowheads="1"/>
        </xdr:cNvSpPr>
      </xdr:nvSpPr>
      <xdr:spPr>
        <a:xfrm>
          <a:off x="156876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57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58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59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0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1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2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3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4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5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6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7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8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69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0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1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2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3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4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5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6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7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8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79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80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81" name="Text Box 1025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82" name="Text Box 1026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83" name="Text Box 1027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76200</xdr:colOff>
      <xdr:row>131</xdr:row>
      <xdr:rowOff>180975</xdr:rowOff>
    </xdr:to>
    <xdr:sp macro="" textlink="">
      <xdr:nvSpPr>
        <xdr:cNvPr id="4784" name="Text Box 1028"/>
        <xdr:cNvSpPr txBox="1">
          <a:spLocks noChangeArrowheads="1"/>
        </xdr:cNvSpPr>
      </xdr:nvSpPr>
      <xdr:spPr>
        <a:xfrm>
          <a:off x="164687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85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86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87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88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89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0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1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2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3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4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5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6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7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8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799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0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1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2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3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4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5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6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7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8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09" name="Text Box 1025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10" name="Text Box 1026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11" name="Text Box 1027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76200</xdr:colOff>
      <xdr:row>131</xdr:row>
      <xdr:rowOff>180975</xdr:rowOff>
    </xdr:to>
    <xdr:sp macro="" textlink="">
      <xdr:nvSpPr>
        <xdr:cNvPr id="4812" name="Text Box 1028"/>
        <xdr:cNvSpPr txBox="1">
          <a:spLocks noChangeArrowheads="1"/>
        </xdr:cNvSpPr>
      </xdr:nvSpPr>
      <xdr:spPr>
        <a:xfrm>
          <a:off x="1734502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3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4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5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6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7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8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19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0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1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2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3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4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5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6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7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8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29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0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1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2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3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4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5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6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7" name="Text Box 1025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8" name="Text Box 1026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39" name="Text Box 1027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76200</xdr:colOff>
      <xdr:row>131</xdr:row>
      <xdr:rowOff>180975</xdr:rowOff>
    </xdr:to>
    <xdr:sp macro="" textlink="">
      <xdr:nvSpPr>
        <xdr:cNvPr id="4840" name="Text Box 1028"/>
        <xdr:cNvSpPr txBox="1">
          <a:spLocks noChangeArrowheads="1"/>
        </xdr:cNvSpPr>
      </xdr:nvSpPr>
      <xdr:spPr>
        <a:xfrm>
          <a:off x="182118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1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2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3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4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5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6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7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8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49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0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1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2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3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4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5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6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7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8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59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0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1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2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3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4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5" name="Text Box 1025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6" name="Text Box 1026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7" name="Text Box 1027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76200</xdr:colOff>
      <xdr:row>131</xdr:row>
      <xdr:rowOff>180975</xdr:rowOff>
    </xdr:to>
    <xdr:sp macro="" textlink="">
      <xdr:nvSpPr>
        <xdr:cNvPr id="4868" name="Text Box 1028"/>
        <xdr:cNvSpPr txBox="1">
          <a:spLocks noChangeArrowheads="1"/>
        </xdr:cNvSpPr>
      </xdr:nvSpPr>
      <xdr:spPr>
        <a:xfrm>
          <a:off x="18964275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869" name="Text Box 1025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870" name="Text Box 1026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871" name="Text Box 1027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180975</xdr:rowOff>
    </xdr:to>
    <xdr:sp macro="" textlink="">
      <xdr:nvSpPr>
        <xdr:cNvPr id="4872" name="Text Box 1028"/>
        <xdr:cNvSpPr txBox="1">
          <a:spLocks noChangeArrowheads="1"/>
        </xdr:cNvSpPr>
      </xdr:nvSpPr>
      <xdr:spPr>
        <a:xfrm>
          <a:off x="209550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3" name="Text Box 103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4" name="Text Box 103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5" name="Text Box 1039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6" name="Text Box 1040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7" name="Text Box 1041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8" name="Text Box 1042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79" name="Text Box 1043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0" name="Text Box 1044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1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2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3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4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5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6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7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8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89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0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1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2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3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4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5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6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7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8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899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0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1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2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3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4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5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6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7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8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09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0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1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2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3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4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5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6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7" name="Text Box 1025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8" name="Text Box 1026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19" name="Text Box 1027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76200</xdr:colOff>
      <xdr:row>131</xdr:row>
      <xdr:rowOff>180975</xdr:rowOff>
    </xdr:to>
    <xdr:sp macro="" textlink="">
      <xdr:nvSpPr>
        <xdr:cNvPr id="4920" name="Text Box 1028"/>
        <xdr:cNvSpPr txBox="1">
          <a:spLocks noChangeArrowheads="1"/>
        </xdr:cNvSpPr>
      </xdr:nvSpPr>
      <xdr:spPr>
        <a:xfrm>
          <a:off x="139255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1" name="Text Box 103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2" name="Text Box 103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3" name="Text Box 1039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4" name="Text Box 1040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5" name="Text Box 1041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6" name="Text Box 1042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7" name="Text Box 1043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8" name="Text Box 1044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29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0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1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2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3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4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5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6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7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8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39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0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1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2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3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4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5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6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7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8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49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0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1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2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3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4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5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6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7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8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59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0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1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2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3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4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5" name="Text Box 1025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6" name="Text Box 1026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7" name="Text Box 1027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76200</xdr:colOff>
      <xdr:row>131</xdr:row>
      <xdr:rowOff>180975</xdr:rowOff>
    </xdr:to>
    <xdr:sp macro="" textlink="">
      <xdr:nvSpPr>
        <xdr:cNvPr id="4968" name="Text Box 1028"/>
        <xdr:cNvSpPr txBox="1">
          <a:spLocks noChangeArrowheads="1"/>
        </xdr:cNvSpPr>
      </xdr:nvSpPr>
      <xdr:spPr>
        <a:xfrm>
          <a:off x="14763750" y="349307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180975</xdr:rowOff>
    </xdr:to>
    <xdr:sp macro="" textlink="">
      <xdr:nvSpPr>
        <xdr:cNvPr id="4969" name="Text Box 1025"/>
        <xdr:cNvSpPr txBox="1">
          <a:spLocks noChangeArrowheads="1"/>
        </xdr:cNvSpPr>
      </xdr:nvSpPr>
      <xdr:spPr>
        <a:xfrm>
          <a:off x="20955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180975</xdr:rowOff>
    </xdr:to>
    <xdr:sp macro="" textlink="">
      <xdr:nvSpPr>
        <xdr:cNvPr id="4970" name="Text Box 1026"/>
        <xdr:cNvSpPr txBox="1">
          <a:spLocks noChangeArrowheads="1"/>
        </xdr:cNvSpPr>
      </xdr:nvSpPr>
      <xdr:spPr>
        <a:xfrm>
          <a:off x="20955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180975</xdr:rowOff>
    </xdr:to>
    <xdr:sp macro="" textlink="">
      <xdr:nvSpPr>
        <xdr:cNvPr id="4971" name="Text Box 1027"/>
        <xdr:cNvSpPr txBox="1">
          <a:spLocks noChangeArrowheads="1"/>
        </xdr:cNvSpPr>
      </xdr:nvSpPr>
      <xdr:spPr>
        <a:xfrm>
          <a:off x="20955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180975</xdr:rowOff>
    </xdr:to>
    <xdr:sp macro="" textlink="">
      <xdr:nvSpPr>
        <xdr:cNvPr id="4972" name="Text Box 1028"/>
        <xdr:cNvSpPr txBox="1">
          <a:spLocks noChangeArrowheads="1"/>
        </xdr:cNvSpPr>
      </xdr:nvSpPr>
      <xdr:spPr>
        <a:xfrm>
          <a:off x="20955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3" name="Text Box 1029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4" name="Text Box 1030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5" name="Text Box 1031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6" name="Text Box 1032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7" name="Text Box 1033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8" name="Text Box 1034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79" name="Text Box 1035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4980" name="Text Box 1036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1" name="Text Box 1037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2" name="Text Box 1038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3" name="Text Box 1039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4" name="Text Box 1040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5" name="Text Box 1041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6" name="Text Box 1042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7" name="Text Box 1043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4988" name="Text Box 1044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4989" name="Text Box 1025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4990" name="Text Box 1026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4991" name="Text Box 1027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4992" name="Text Box 1028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4993" name="Text Box 1025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4994" name="Text Box 1026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4995" name="Text Box 1027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4996" name="Text Box 1028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4997" name="Text Box 1025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4998" name="Text Box 1026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4999" name="Text Box 1027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000" name="Text Box 1028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001" name="Text Box 1025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002" name="Text Box 1026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003" name="Text Box 1027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004" name="Text Box 1028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05" name="Text Box 1037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06" name="Text Box 1038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07" name="Text Box 1039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08" name="Text Box 1040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09" name="Text Box 1041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10" name="Text Box 1042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11" name="Text Box 1043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012" name="Text Box 1044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3" name="Text Box 1037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4" name="Text Box 1038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5" name="Text Box 1039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6" name="Text Box 1040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7" name="Text Box 1041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8" name="Text Box 1042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19" name="Text Box 1043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020" name="Text Box 1044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1" name="Text Box 1037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2" name="Text Box 1038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3" name="Text Box 1039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4" name="Text Box 1040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5" name="Text Box 1041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6" name="Text Box 1042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7" name="Text Box 1043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028" name="Text Box 1044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29" name="Text Box 1037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0" name="Text Box 1038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1" name="Text Box 1039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2" name="Text Box 1040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3" name="Text Box 1041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4" name="Text Box 1042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5" name="Text Box 1043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036" name="Text Box 1044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37" name="Text Box 1037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38" name="Text Box 1038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39" name="Text Box 1039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40" name="Text Box 1040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41" name="Text Box 1041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42" name="Text Box 1042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43" name="Text Box 1043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044" name="Text Box 1044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45" name="Text Box 1037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46" name="Text Box 1038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47" name="Text Box 1039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48" name="Text Box 1040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49" name="Text Box 1041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50" name="Text Box 1042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51" name="Text Box 1043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052" name="Text Box 1044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3" name="Text Box 1037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4" name="Text Box 1038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5" name="Text Box 1039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6" name="Text Box 1040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7" name="Text Box 1041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8" name="Text Box 1042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59" name="Text Box 1043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060" name="Text Box 1044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1" name="Text Box 1037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2" name="Text Box 1038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3" name="Text Box 1039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4" name="Text Box 1040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5" name="Text Box 1041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6" name="Text Box 1042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7" name="Text Box 1043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068" name="Text Box 1044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69" name="Text Box 1037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0" name="Text Box 1038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1" name="Text Box 1039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2" name="Text Box 1040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3" name="Text Box 1041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4" name="Text Box 1042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5" name="Text Box 1043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076" name="Text Box 1044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77" name="Text Box 1037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78" name="Text Box 1038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79" name="Text Box 1039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80" name="Text Box 1040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81" name="Text Box 1041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82" name="Text Box 1042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83" name="Text Box 1043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084" name="Text Box 1044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85" name="Text Box 1037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86" name="Text Box 1038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87" name="Text Box 1039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88" name="Text Box 1040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89" name="Text Box 1041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90" name="Text Box 1042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91" name="Text Box 1043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092" name="Text Box 1044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180975</xdr:rowOff>
    </xdr:to>
    <xdr:sp macro="" textlink="">
      <xdr:nvSpPr>
        <xdr:cNvPr id="5093" name="Text Box 1025"/>
        <xdr:cNvSpPr txBox="1">
          <a:spLocks noChangeArrowheads="1"/>
        </xdr:cNvSpPr>
      </xdr:nvSpPr>
      <xdr:spPr>
        <a:xfrm>
          <a:off x="1419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180975</xdr:rowOff>
    </xdr:to>
    <xdr:sp macro="" textlink="">
      <xdr:nvSpPr>
        <xdr:cNvPr id="5094" name="Text Box 1026"/>
        <xdr:cNvSpPr txBox="1">
          <a:spLocks noChangeArrowheads="1"/>
        </xdr:cNvSpPr>
      </xdr:nvSpPr>
      <xdr:spPr>
        <a:xfrm>
          <a:off x="1419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180975</xdr:rowOff>
    </xdr:to>
    <xdr:sp macro="" textlink="">
      <xdr:nvSpPr>
        <xdr:cNvPr id="5095" name="Text Box 1027"/>
        <xdr:cNvSpPr txBox="1">
          <a:spLocks noChangeArrowheads="1"/>
        </xdr:cNvSpPr>
      </xdr:nvSpPr>
      <xdr:spPr>
        <a:xfrm>
          <a:off x="1419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180975</xdr:rowOff>
    </xdr:to>
    <xdr:sp macro="" textlink="">
      <xdr:nvSpPr>
        <xdr:cNvPr id="5096" name="Text Box 1028"/>
        <xdr:cNvSpPr txBox="1">
          <a:spLocks noChangeArrowheads="1"/>
        </xdr:cNvSpPr>
      </xdr:nvSpPr>
      <xdr:spPr>
        <a:xfrm>
          <a:off x="1419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5097" name="Text Box 1025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5098" name="Text Box 1026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5099" name="Text Box 1027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</xdr:colOff>
      <xdr:row>135</xdr:row>
      <xdr:rowOff>180975</xdr:rowOff>
    </xdr:to>
    <xdr:sp macro="" textlink="">
      <xdr:nvSpPr>
        <xdr:cNvPr id="5100" name="Text Box 1028"/>
        <xdr:cNvSpPr txBox="1">
          <a:spLocks noChangeArrowheads="1"/>
        </xdr:cNvSpPr>
      </xdr:nvSpPr>
      <xdr:spPr>
        <a:xfrm>
          <a:off x="2714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5101" name="Text Box 1025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5102" name="Text Box 1026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5103" name="Text Box 1027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76200</xdr:colOff>
      <xdr:row>135</xdr:row>
      <xdr:rowOff>180975</xdr:rowOff>
    </xdr:to>
    <xdr:sp macro="" textlink="">
      <xdr:nvSpPr>
        <xdr:cNvPr id="5104" name="Text Box 1028"/>
        <xdr:cNvSpPr txBox="1">
          <a:spLocks noChangeArrowheads="1"/>
        </xdr:cNvSpPr>
      </xdr:nvSpPr>
      <xdr:spPr>
        <a:xfrm>
          <a:off x="3600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05" name="Text Box 1025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06" name="Text Box 1026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07" name="Text Box 1027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08" name="Text Box 1028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09" name="Text Box 1025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10" name="Text Box 1026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11" name="Text Box 1027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12" name="Text Box 1028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13" name="Text Box 1025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14" name="Text Box 1026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15" name="Text Box 1027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16" name="Text Box 1028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17" name="Text Box 1025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18" name="Text Box 1026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19" name="Text Box 1027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20" name="Text Box 1028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21" name="Text Box 1025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22" name="Text Box 1026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23" name="Text Box 1027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24" name="Text Box 1028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125" name="Text Box 1025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126" name="Text Box 1026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127" name="Text Box 1027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128" name="Text Box 1028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129" name="Text Box 1025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130" name="Text Box 1026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131" name="Text Box 1027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132" name="Text Box 1028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133" name="Text Box 1025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134" name="Text Box 1026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135" name="Text Box 1027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136" name="Text Box 1028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137" name="Text Box 1025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138" name="Text Box 1026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139" name="Text Box 1027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140" name="Text Box 1028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141" name="Text Box 1025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142" name="Text Box 1026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143" name="Text Box 1027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144" name="Text Box 1028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145" name="Text Box 1025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146" name="Text Box 1026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147" name="Text Box 1027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148" name="Text Box 1028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149" name="Text Box 1025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150" name="Text Box 1026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151" name="Text Box 1027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152" name="Text Box 1028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153" name="Text Box 1025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154" name="Text Box 1026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155" name="Text Box 1027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156" name="Text Box 1028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157" name="Text Box 1025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158" name="Text Box 1026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159" name="Text Box 1027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160" name="Text Box 1028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161" name="Text Box 1025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162" name="Text Box 1026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163" name="Text Box 1027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164" name="Text Box 1028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65" name="Text Box 1025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66" name="Text Box 1026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67" name="Text Box 1027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68" name="Text Box 1028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69" name="Text Box 1025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70" name="Text Box 1026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71" name="Text Box 1027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76200</xdr:colOff>
      <xdr:row>135</xdr:row>
      <xdr:rowOff>180975</xdr:rowOff>
    </xdr:to>
    <xdr:sp macro="" textlink="">
      <xdr:nvSpPr>
        <xdr:cNvPr id="5172" name="Text Box 1028"/>
        <xdr:cNvSpPr txBox="1">
          <a:spLocks noChangeArrowheads="1"/>
        </xdr:cNvSpPr>
      </xdr:nvSpPr>
      <xdr:spPr>
        <a:xfrm>
          <a:off x="45720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3" name="Text Box 1025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4" name="Text Box 1026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5" name="Text Box 1027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6" name="Text Box 1028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7" name="Text Box 1025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8" name="Text Box 1026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79" name="Text Box 1027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76200</xdr:colOff>
      <xdr:row>135</xdr:row>
      <xdr:rowOff>180975</xdr:rowOff>
    </xdr:to>
    <xdr:sp macro="" textlink="">
      <xdr:nvSpPr>
        <xdr:cNvPr id="5180" name="Text Box 1028"/>
        <xdr:cNvSpPr txBox="1">
          <a:spLocks noChangeArrowheads="1"/>
        </xdr:cNvSpPr>
      </xdr:nvSpPr>
      <xdr:spPr>
        <a:xfrm>
          <a:off x="5495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1" name="Text Box 1025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2" name="Text Box 1026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3" name="Text Box 1027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4" name="Text Box 1028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5" name="Text Box 1025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6" name="Text Box 1026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7" name="Text Box 1027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76200</xdr:colOff>
      <xdr:row>135</xdr:row>
      <xdr:rowOff>180975</xdr:rowOff>
    </xdr:to>
    <xdr:sp macro="" textlink="">
      <xdr:nvSpPr>
        <xdr:cNvPr id="5188" name="Text Box 1028"/>
        <xdr:cNvSpPr txBox="1">
          <a:spLocks noChangeArrowheads="1"/>
        </xdr:cNvSpPr>
      </xdr:nvSpPr>
      <xdr:spPr>
        <a:xfrm>
          <a:off x="63722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89" name="Text Box 1025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0" name="Text Box 1026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1" name="Text Box 1027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2" name="Text Box 1028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3" name="Text Box 1025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4" name="Text Box 1026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5" name="Text Box 1027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76200</xdr:colOff>
      <xdr:row>135</xdr:row>
      <xdr:rowOff>180975</xdr:rowOff>
    </xdr:to>
    <xdr:sp macro="" textlink="">
      <xdr:nvSpPr>
        <xdr:cNvPr id="5196" name="Text Box 1028"/>
        <xdr:cNvSpPr txBox="1">
          <a:spLocks noChangeArrowheads="1"/>
        </xdr:cNvSpPr>
      </xdr:nvSpPr>
      <xdr:spPr>
        <a:xfrm>
          <a:off x="70199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97" name="Text Box 1025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98" name="Text Box 1026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199" name="Text Box 1027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200" name="Text Box 1028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201" name="Text Box 1025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202" name="Text Box 1026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203" name="Text Box 1027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76200</xdr:colOff>
      <xdr:row>135</xdr:row>
      <xdr:rowOff>180975</xdr:rowOff>
    </xdr:to>
    <xdr:sp macro="" textlink="">
      <xdr:nvSpPr>
        <xdr:cNvPr id="5204" name="Text Box 1028"/>
        <xdr:cNvSpPr txBox="1">
          <a:spLocks noChangeArrowheads="1"/>
        </xdr:cNvSpPr>
      </xdr:nvSpPr>
      <xdr:spPr>
        <a:xfrm>
          <a:off x="76962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05" name="Text Box 1025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06" name="Text Box 1026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07" name="Text Box 1027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08" name="Text Box 1028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09" name="Text Box 1025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10" name="Text Box 1026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11" name="Text Box 1027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76200</xdr:colOff>
      <xdr:row>135</xdr:row>
      <xdr:rowOff>180975</xdr:rowOff>
    </xdr:to>
    <xdr:sp macro="" textlink="">
      <xdr:nvSpPr>
        <xdr:cNvPr id="5212" name="Text Box 1028"/>
        <xdr:cNvSpPr txBox="1">
          <a:spLocks noChangeArrowheads="1"/>
        </xdr:cNvSpPr>
      </xdr:nvSpPr>
      <xdr:spPr>
        <a:xfrm>
          <a:off x="85629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3" name="Text Box 1025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4" name="Text Box 1026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5" name="Text Box 1027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6" name="Text Box 1028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7" name="Text Box 1025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8" name="Text Box 1026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19" name="Text Box 1027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11</xdr:col>
      <xdr:colOff>76200</xdr:colOff>
      <xdr:row>135</xdr:row>
      <xdr:rowOff>180975</xdr:rowOff>
    </xdr:to>
    <xdr:sp macro="" textlink="">
      <xdr:nvSpPr>
        <xdr:cNvPr id="5220" name="Text Box 1028"/>
        <xdr:cNvSpPr txBox="1">
          <a:spLocks noChangeArrowheads="1"/>
        </xdr:cNvSpPr>
      </xdr:nvSpPr>
      <xdr:spPr>
        <a:xfrm>
          <a:off x="95631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1" name="Text Box 1025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2" name="Text Box 1026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3" name="Text Box 1027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4" name="Text Box 1028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5" name="Text Box 1025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6" name="Text Box 1026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7" name="Text Box 1027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12</xdr:col>
      <xdr:colOff>76200</xdr:colOff>
      <xdr:row>135</xdr:row>
      <xdr:rowOff>180975</xdr:rowOff>
    </xdr:to>
    <xdr:sp macro="" textlink="">
      <xdr:nvSpPr>
        <xdr:cNvPr id="5228" name="Text Box 1028"/>
        <xdr:cNvSpPr txBox="1">
          <a:spLocks noChangeArrowheads="1"/>
        </xdr:cNvSpPr>
      </xdr:nvSpPr>
      <xdr:spPr>
        <a:xfrm>
          <a:off x="103917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29" name="Text Box 1025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0" name="Text Box 1026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1" name="Text Box 1027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2" name="Text Box 1028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3" name="Text Box 1025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4" name="Text Box 1026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5" name="Text Box 1027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76200</xdr:colOff>
      <xdr:row>135</xdr:row>
      <xdr:rowOff>180975</xdr:rowOff>
    </xdr:to>
    <xdr:sp macro="" textlink="">
      <xdr:nvSpPr>
        <xdr:cNvPr id="5236" name="Text Box 1028"/>
        <xdr:cNvSpPr txBox="1">
          <a:spLocks noChangeArrowheads="1"/>
        </xdr:cNvSpPr>
      </xdr:nvSpPr>
      <xdr:spPr>
        <a:xfrm>
          <a:off x="11353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37" name="Text Box 1025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38" name="Text Box 1026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39" name="Text Box 1027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40" name="Text Box 1028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41" name="Text Box 1025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42" name="Text Box 1026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43" name="Text Box 1027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76200</xdr:colOff>
      <xdr:row>135</xdr:row>
      <xdr:rowOff>180975</xdr:rowOff>
    </xdr:to>
    <xdr:sp macro="" textlink="">
      <xdr:nvSpPr>
        <xdr:cNvPr id="5244" name="Text Box 1028"/>
        <xdr:cNvSpPr txBox="1">
          <a:spLocks noChangeArrowheads="1"/>
        </xdr:cNvSpPr>
      </xdr:nvSpPr>
      <xdr:spPr>
        <a:xfrm>
          <a:off x="122396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45" name="Text Box 1025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46" name="Text Box 1026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47" name="Text Box 1027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48" name="Text Box 1028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49" name="Text Box 1025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50" name="Text Box 1026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51" name="Text Box 1027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76200</xdr:colOff>
      <xdr:row>135</xdr:row>
      <xdr:rowOff>180975</xdr:rowOff>
    </xdr:to>
    <xdr:sp macro="" textlink="">
      <xdr:nvSpPr>
        <xdr:cNvPr id="5252" name="Text Box 1028"/>
        <xdr:cNvSpPr txBox="1">
          <a:spLocks noChangeArrowheads="1"/>
        </xdr:cNvSpPr>
      </xdr:nvSpPr>
      <xdr:spPr>
        <a:xfrm>
          <a:off x="131254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3" name="Text Box 1025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4" name="Text Box 1026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5" name="Text Box 1027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6" name="Text Box 1028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7" name="Text Box 1025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8" name="Text Box 1026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59" name="Text Box 1027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76200</xdr:colOff>
      <xdr:row>135</xdr:row>
      <xdr:rowOff>180975</xdr:rowOff>
    </xdr:to>
    <xdr:sp macro="" textlink="">
      <xdr:nvSpPr>
        <xdr:cNvPr id="5260" name="Text Box 1028"/>
        <xdr:cNvSpPr txBox="1">
          <a:spLocks noChangeArrowheads="1"/>
        </xdr:cNvSpPr>
      </xdr:nvSpPr>
      <xdr:spPr>
        <a:xfrm>
          <a:off x="139255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1" name="Text Box 1025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2" name="Text Box 1026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3" name="Text Box 1027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4" name="Text Box 1028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5" name="Text Box 1025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6" name="Text Box 1026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7" name="Text Box 1027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76200</xdr:colOff>
      <xdr:row>135</xdr:row>
      <xdr:rowOff>180975</xdr:rowOff>
    </xdr:to>
    <xdr:sp macro="" textlink="">
      <xdr:nvSpPr>
        <xdr:cNvPr id="5268" name="Text Box 1028"/>
        <xdr:cNvSpPr txBox="1">
          <a:spLocks noChangeArrowheads="1"/>
        </xdr:cNvSpPr>
      </xdr:nvSpPr>
      <xdr:spPr>
        <a:xfrm>
          <a:off x="1476375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69" name="Text Box 1025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0" name="Text Box 1026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1" name="Text Box 1027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2" name="Text Box 1028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3" name="Text Box 1025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4" name="Text Box 1026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5" name="Text Box 1027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135</xdr:row>
      <xdr:rowOff>0</xdr:rowOff>
    </xdr:from>
    <xdr:to>
      <xdr:col>20</xdr:col>
      <xdr:colOff>76200</xdr:colOff>
      <xdr:row>135</xdr:row>
      <xdr:rowOff>180975</xdr:rowOff>
    </xdr:to>
    <xdr:sp macro="" textlink="">
      <xdr:nvSpPr>
        <xdr:cNvPr id="5276" name="Text Box 1028"/>
        <xdr:cNvSpPr txBox="1">
          <a:spLocks noChangeArrowheads="1"/>
        </xdr:cNvSpPr>
      </xdr:nvSpPr>
      <xdr:spPr>
        <a:xfrm>
          <a:off x="1734502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77" name="Text Box 1025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78" name="Text Box 1026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79" name="Text Box 1027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80" name="Text Box 1028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81" name="Text Box 1025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82" name="Text Box 1026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83" name="Text Box 1027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76200</xdr:colOff>
      <xdr:row>135</xdr:row>
      <xdr:rowOff>180975</xdr:rowOff>
    </xdr:to>
    <xdr:sp macro="" textlink="">
      <xdr:nvSpPr>
        <xdr:cNvPr id="5284" name="Text Box 1028"/>
        <xdr:cNvSpPr txBox="1">
          <a:spLocks noChangeArrowheads="1"/>
        </xdr:cNvSpPr>
      </xdr:nvSpPr>
      <xdr:spPr>
        <a:xfrm>
          <a:off x="18211800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85" name="Text Box 1037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86" name="Text Box 1038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87" name="Text Box 1039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88" name="Text Box 1040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89" name="Text Box 1041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0" name="Text Box 1042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1" name="Text Box 1043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2" name="Text Box 1044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3" name="Text Box 1025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4" name="Text Box 1026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5" name="Text Box 1027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6" name="Text Box 1028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7" name="Text Box 1025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8" name="Text Box 1026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299" name="Text Box 1027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300" name="Text Box 1028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301" name="Text Box 1025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302" name="Text Box 1026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303" name="Text Box 1027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22</xdr:col>
      <xdr:colOff>0</xdr:colOff>
      <xdr:row>135</xdr:row>
      <xdr:rowOff>0</xdr:rowOff>
    </xdr:from>
    <xdr:to>
      <xdr:col>22</xdr:col>
      <xdr:colOff>76200</xdr:colOff>
      <xdr:row>135</xdr:row>
      <xdr:rowOff>180975</xdr:rowOff>
    </xdr:to>
    <xdr:sp macro="" textlink="">
      <xdr:nvSpPr>
        <xdr:cNvPr id="5304" name="Text Box 1028"/>
        <xdr:cNvSpPr txBox="1">
          <a:spLocks noChangeArrowheads="1"/>
        </xdr:cNvSpPr>
      </xdr:nvSpPr>
      <xdr:spPr>
        <a:xfrm>
          <a:off x="18964275" y="359975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1"/>
  <sheetViews>
    <sheetView workbookViewId="0">
      <pane xSplit="1" ySplit="4" topLeftCell="F38" activePane="bottomRight" state="frozen"/>
      <selection pane="topRight"/>
      <selection pane="bottomLeft"/>
      <selection pane="bottomRight" activeCell="H36" sqref="H36"/>
    </sheetView>
  </sheetViews>
  <sheetFormatPr defaultColWidth="9" defaultRowHeight="14.25"/>
  <cols>
    <col min="1" max="1" width="21" style="375" customWidth="1"/>
    <col min="2" max="2" width="8.875" style="5" customWidth="1"/>
    <col min="3" max="3" width="11.5" style="5" customWidth="1"/>
    <col min="4" max="4" width="11.25" style="5" customWidth="1"/>
    <col min="5" max="5" width="36.25" style="327" customWidth="1"/>
    <col min="6" max="6" width="31.75" style="5" customWidth="1"/>
    <col min="7" max="7" width="8.75" style="5" customWidth="1"/>
    <col min="8" max="8" width="11.875" style="5" customWidth="1"/>
    <col min="9" max="9" width="10.25" style="5" customWidth="1"/>
    <col min="10" max="10" width="39.375" style="5" customWidth="1"/>
    <col min="11" max="255" width="9" style="5" customWidth="1"/>
  </cols>
  <sheetData>
    <row r="1" spans="1:10" ht="19.5" customHeight="1">
      <c r="A1" s="375" t="s">
        <v>0</v>
      </c>
      <c r="B1" s="376"/>
    </row>
    <row r="2" spans="1:10" ht="27" customHeight="1">
      <c r="A2" s="396" t="s">
        <v>1</v>
      </c>
      <c r="B2" s="396"/>
      <c r="C2" s="396"/>
      <c r="D2" s="396"/>
      <c r="E2" s="396"/>
      <c r="F2" s="396"/>
      <c r="G2" s="396"/>
      <c r="H2" s="396"/>
      <c r="I2" s="397"/>
      <c r="J2" s="397"/>
    </row>
    <row r="3" spans="1:10" ht="24.6" customHeight="1">
      <c r="A3" s="377"/>
      <c r="B3" s="378"/>
      <c r="C3" s="329"/>
      <c r="D3" s="329"/>
      <c r="E3" s="398">
        <v>44536</v>
      </c>
      <c r="F3" s="398"/>
      <c r="G3" s="330"/>
      <c r="H3" s="330"/>
      <c r="I3" s="330"/>
      <c r="J3" s="369" t="s">
        <v>2</v>
      </c>
    </row>
    <row r="4" spans="1:10" ht="46.5" customHeight="1">
      <c r="A4" s="331" t="s">
        <v>3</v>
      </c>
      <c r="B4" s="331" t="s">
        <v>4</v>
      </c>
      <c r="C4" s="331" t="s">
        <v>5</v>
      </c>
      <c r="D4" s="331" t="s">
        <v>6</v>
      </c>
      <c r="E4" s="331" t="s">
        <v>7</v>
      </c>
      <c r="F4" s="332" t="s">
        <v>3</v>
      </c>
      <c r="G4" s="331" t="s">
        <v>4</v>
      </c>
      <c r="H4" s="331" t="s">
        <v>5</v>
      </c>
      <c r="I4" s="331" t="s">
        <v>6</v>
      </c>
      <c r="J4" s="333" t="s">
        <v>7</v>
      </c>
    </row>
    <row r="5" spans="1:10" ht="20.25" customHeight="1">
      <c r="A5" s="401" t="s">
        <v>8</v>
      </c>
      <c r="B5" s="403">
        <f>B8+B23+B36+B39</f>
        <v>85317</v>
      </c>
      <c r="C5" s="403">
        <f>C8+C23+C36+C39</f>
        <v>86039</v>
      </c>
      <c r="D5" s="405">
        <f t="shared" ref="D5:D11" si="0">C5-B5</f>
        <v>722</v>
      </c>
      <c r="E5" s="401"/>
      <c r="F5" s="379" t="s">
        <v>9</v>
      </c>
      <c r="G5" s="336">
        <f>G6+G32+G38</f>
        <v>77237.600000000006</v>
      </c>
      <c r="H5" s="336">
        <f>H6+H32+H38</f>
        <v>56391.74</v>
      </c>
      <c r="I5" s="336">
        <f>I6+I32+I38</f>
        <v>-20484.86</v>
      </c>
      <c r="J5" s="338"/>
    </row>
    <row r="6" spans="1:10" ht="21.75" customHeight="1">
      <c r="A6" s="402"/>
      <c r="B6" s="404"/>
      <c r="C6" s="404"/>
      <c r="D6" s="406"/>
      <c r="E6" s="402"/>
      <c r="F6" s="357" t="s">
        <v>10</v>
      </c>
      <c r="G6" s="336">
        <f>G7+G24+G31</f>
        <v>45009.599999999999</v>
      </c>
      <c r="H6" s="336">
        <f>H7+H24+H31</f>
        <v>55274.6</v>
      </c>
      <c r="I6" s="336">
        <f>I7+I24+I31</f>
        <v>10626</v>
      </c>
      <c r="J6" s="338"/>
    </row>
    <row r="7" spans="1:10" ht="21" customHeight="1">
      <c r="A7" s="402"/>
      <c r="B7" s="404"/>
      <c r="C7" s="404"/>
      <c r="D7" s="406"/>
      <c r="E7" s="402"/>
      <c r="F7" s="339" t="s">
        <v>11</v>
      </c>
      <c r="G7" s="336">
        <f>SUM(G8:G23)</f>
        <v>35740.6</v>
      </c>
      <c r="H7" s="336">
        <f>SUM(H8:H23)</f>
        <v>45568.6</v>
      </c>
      <c r="I7" s="336">
        <f>SUM(I8:I23)</f>
        <v>10189</v>
      </c>
      <c r="J7" s="338"/>
    </row>
    <row r="8" spans="1:10" ht="45" customHeight="1">
      <c r="A8" s="335" t="s">
        <v>12</v>
      </c>
      <c r="B8" s="333">
        <f>SUM(B9:B17)</f>
        <v>40354</v>
      </c>
      <c r="C8" s="334">
        <f>SUM(C9:C17)</f>
        <v>37842</v>
      </c>
      <c r="D8" s="334">
        <f>SUM(D9:D13)</f>
        <v>-2512</v>
      </c>
      <c r="E8" s="338"/>
      <c r="F8" s="380" t="s">
        <v>13</v>
      </c>
      <c r="G8" s="342">
        <v>18324</v>
      </c>
      <c r="H8" s="342">
        <f>23617-431</f>
        <v>23186</v>
      </c>
      <c r="I8" s="336">
        <f t="shared" ref="I8:I21" si="1">H8-G8</f>
        <v>4862</v>
      </c>
      <c r="J8" s="130" t="s">
        <v>14</v>
      </c>
    </row>
    <row r="9" spans="1:10" ht="36.950000000000003" customHeight="1">
      <c r="A9" s="348" t="s">
        <v>15</v>
      </c>
      <c r="B9" s="343">
        <v>25723</v>
      </c>
      <c r="C9" s="343">
        <v>22520</v>
      </c>
      <c r="D9" s="344">
        <f t="shared" si="0"/>
        <v>-3203</v>
      </c>
      <c r="E9" s="338"/>
      <c r="F9" s="380" t="s">
        <v>16</v>
      </c>
      <c r="G9" s="342">
        <v>7475</v>
      </c>
      <c r="H9" s="342">
        <f>4167+5333</f>
        <v>9500</v>
      </c>
      <c r="I9" s="336">
        <f t="shared" si="1"/>
        <v>2025</v>
      </c>
      <c r="J9" s="351" t="s">
        <v>17</v>
      </c>
    </row>
    <row r="10" spans="1:10" ht="48" customHeight="1">
      <c r="A10" s="381" t="s">
        <v>18</v>
      </c>
      <c r="B10" s="343">
        <v>2754</v>
      </c>
      <c r="C10" s="343">
        <v>2445</v>
      </c>
      <c r="D10" s="344">
        <f t="shared" si="0"/>
        <v>-309</v>
      </c>
      <c r="E10" s="338"/>
      <c r="F10" s="380" t="s">
        <v>19</v>
      </c>
      <c r="G10" s="342">
        <v>2323</v>
      </c>
      <c r="H10" s="342">
        <f>2548+40+431</f>
        <v>3019</v>
      </c>
      <c r="I10" s="336">
        <f t="shared" si="1"/>
        <v>696</v>
      </c>
      <c r="J10" s="351" t="s">
        <v>20</v>
      </c>
    </row>
    <row r="11" spans="1:10" ht="51" customHeight="1">
      <c r="A11" s="382" t="s">
        <v>21</v>
      </c>
      <c r="B11" s="343">
        <v>11877</v>
      </c>
      <c r="C11" s="343">
        <v>12877</v>
      </c>
      <c r="D11" s="344">
        <f t="shared" si="0"/>
        <v>1000</v>
      </c>
      <c r="E11" s="338"/>
      <c r="F11" s="380" t="s">
        <v>22</v>
      </c>
      <c r="G11" s="342">
        <v>2019</v>
      </c>
      <c r="H11" s="342">
        <f>2147+43</f>
        <v>2190</v>
      </c>
      <c r="I11" s="336">
        <f t="shared" si="1"/>
        <v>171</v>
      </c>
      <c r="J11" s="351" t="s">
        <v>23</v>
      </c>
    </row>
    <row r="12" spans="1:10" ht="34.5" customHeight="1">
      <c r="A12" s="383"/>
      <c r="B12" s="343"/>
      <c r="C12" s="343"/>
      <c r="D12" s="344"/>
      <c r="E12" s="338"/>
      <c r="F12" s="380" t="s">
        <v>24</v>
      </c>
      <c r="G12" s="344">
        <v>341</v>
      </c>
      <c r="H12" s="344">
        <v>425</v>
      </c>
      <c r="I12" s="336">
        <f t="shared" si="1"/>
        <v>84</v>
      </c>
      <c r="J12" s="351" t="s">
        <v>25</v>
      </c>
    </row>
    <row r="13" spans="1:10" ht="46.5" customHeight="1">
      <c r="A13" s="348"/>
      <c r="B13" s="343"/>
      <c r="C13" s="343"/>
      <c r="D13" s="341"/>
      <c r="E13" s="338"/>
      <c r="F13" s="384" t="s">
        <v>26</v>
      </c>
      <c r="G13" s="341">
        <v>387.6</v>
      </c>
      <c r="H13" s="341">
        <v>387.6</v>
      </c>
      <c r="I13" s="336">
        <f t="shared" si="1"/>
        <v>0</v>
      </c>
      <c r="J13" s="356" t="s">
        <v>27</v>
      </c>
    </row>
    <row r="14" spans="1:10" ht="33.75" customHeight="1">
      <c r="A14" s="385"/>
      <c r="B14" s="341"/>
      <c r="C14" s="341"/>
      <c r="D14" s="341"/>
      <c r="E14" s="338"/>
      <c r="F14" s="380" t="s">
        <v>28</v>
      </c>
      <c r="G14" s="341">
        <v>2757</v>
      </c>
      <c r="H14" s="341">
        <v>2974</v>
      </c>
      <c r="I14" s="336">
        <f t="shared" si="1"/>
        <v>217</v>
      </c>
      <c r="J14" s="351" t="s">
        <v>29</v>
      </c>
    </row>
    <row r="15" spans="1:10" ht="27" customHeight="1">
      <c r="A15" s="385"/>
      <c r="B15" s="341"/>
      <c r="C15" s="341"/>
      <c r="D15" s="341"/>
      <c r="E15" s="338"/>
      <c r="F15" s="384" t="s">
        <v>30</v>
      </c>
      <c r="G15" s="341">
        <v>29</v>
      </c>
      <c r="H15" s="341">
        <v>29</v>
      </c>
      <c r="I15" s="336">
        <f t="shared" si="1"/>
        <v>0</v>
      </c>
      <c r="J15" s="351"/>
    </row>
    <row r="16" spans="1:10" ht="32.25" customHeight="1">
      <c r="A16" s="385"/>
      <c r="B16" s="341"/>
      <c r="C16" s="341"/>
      <c r="D16" s="341"/>
      <c r="E16" s="338"/>
      <c r="F16" s="380" t="s">
        <v>31</v>
      </c>
      <c r="G16" s="342">
        <v>280</v>
      </c>
      <c r="H16" s="342">
        <v>297</v>
      </c>
      <c r="I16" s="336">
        <f t="shared" si="1"/>
        <v>17</v>
      </c>
      <c r="J16" s="351" t="s">
        <v>32</v>
      </c>
    </row>
    <row r="17" spans="1:10" ht="27" customHeight="1">
      <c r="A17" s="385"/>
      <c r="B17" s="341"/>
      <c r="C17" s="341"/>
      <c r="D17" s="341"/>
      <c r="E17" s="338"/>
      <c r="F17" s="380" t="s">
        <v>33</v>
      </c>
      <c r="G17" s="342">
        <v>300</v>
      </c>
      <c r="H17" s="342">
        <v>400</v>
      </c>
      <c r="I17" s="336">
        <f t="shared" si="1"/>
        <v>100</v>
      </c>
      <c r="J17" s="351"/>
    </row>
    <row r="18" spans="1:10" ht="24.75" customHeight="1">
      <c r="A18" s="386"/>
      <c r="B18" s="341"/>
      <c r="C18" s="341"/>
      <c r="D18" s="341"/>
      <c r="E18" s="338"/>
      <c r="F18" s="380" t="s">
        <v>34</v>
      </c>
      <c r="G18" s="342">
        <v>418</v>
      </c>
      <c r="H18" s="342">
        <v>457</v>
      </c>
      <c r="I18" s="336">
        <f t="shared" si="1"/>
        <v>39</v>
      </c>
      <c r="J18" s="351" t="s">
        <v>29</v>
      </c>
    </row>
    <row r="19" spans="1:10" ht="35.1" customHeight="1">
      <c r="A19" s="386"/>
      <c r="B19" s="341"/>
      <c r="C19" s="341"/>
      <c r="D19" s="341"/>
      <c r="E19" s="338"/>
      <c r="F19" s="380" t="s">
        <v>35</v>
      </c>
      <c r="G19" s="342">
        <v>120</v>
      </c>
      <c r="H19" s="342">
        <v>124</v>
      </c>
      <c r="I19" s="336">
        <f t="shared" si="1"/>
        <v>4</v>
      </c>
      <c r="J19" s="351" t="s">
        <v>36</v>
      </c>
    </row>
    <row r="20" spans="1:10" ht="35.1" customHeight="1">
      <c r="A20" s="386"/>
      <c r="B20" s="341"/>
      <c r="C20" s="341"/>
      <c r="D20" s="341"/>
      <c r="E20" s="338"/>
      <c r="F20" s="380" t="s">
        <v>37</v>
      </c>
      <c r="G20" s="342">
        <v>131</v>
      </c>
      <c r="H20" s="342">
        <v>92</v>
      </c>
      <c r="I20" s="336">
        <f t="shared" si="1"/>
        <v>-39</v>
      </c>
      <c r="J20" s="351" t="s">
        <v>38</v>
      </c>
    </row>
    <row r="21" spans="1:10" ht="35.1" customHeight="1">
      <c r="A21" s="386"/>
      <c r="B21" s="341"/>
      <c r="C21" s="341"/>
      <c r="D21" s="341"/>
      <c r="E21" s="338"/>
      <c r="F21" s="380" t="s">
        <v>39</v>
      </c>
      <c r="G21" s="342"/>
      <c r="H21" s="342">
        <v>2013</v>
      </c>
      <c r="I21" s="336">
        <f t="shared" si="1"/>
        <v>2013</v>
      </c>
      <c r="J21" s="351"/>
    </row>
    <row r="22" spans="1:10" ht="35.1" customHeight="1">
      <c r="A22" s="386"/>
      <c r="B22" s="341"/>
      <c r="C22" s="341"/>
      <c r="D22" s="341"/>
      <c r="E22" s="338"/>
      <c r="F22" s="380" t="s">
        <v>40</v>
      </c>
      <c r="G22" s="342">
        <v>361</v>
      </c>
      <c r="H22" s="342"/>
      <c r="I22" s="336"/>
      <c r="J22" s="351" t="s">
        <v>41</v>
      </c>
    </row>
    <row r="23" spans="1:10" ht="36" customHeight="1">
      <c r="A23" s="335" t="s">
        <v>42</v>
      </c>
      <c r="B23" s="333">
        <f>SUM(B24:B35)</f>
        <v>37398</v>
      </c>
      <c r="C23" s="333">
        <f>SUM(C24:C35)</f>
        <v>43197</v>
      </c>
      <c r="D23" s="333">
        <f t="shared" ref="D23:D33" si="2">C23-B23</f>
        <v>5799</v>
      </c>
      <c r="E23" s="338"/>
      <c r="F23" s="380" t="s">
        <v>43</v>
      </c>
      <c r="G23" s="342">
        <v>475</v>
      </c>
      <c r="H23" s="342">
        <v>475</v>
      </c>
      <c r="I23" s="336">
        <f t="shared" ref="I23:I28" si="3">H23-G23</f>
        <v>0</v>
      </c>
      <c r="J23" s="351"/>
    </row>
    <row r="24" spans="1:10" ht="42" customHeight="1">
      <c r="A24" s="338" t="s">
        <v>44</v>
      </c>
      <c r="B24" s="341">
        <v>2603</v>
      </c>
      <c r="C24" s="341">
        <v>2603</v>
      </c>
      <c r="D24" s="341">
        <f t="shared" si="2"/>
        <v>0</v>
      </c>
      <c r="E24" s="351" t="s">
        <v>45</v>
      </c>
      <c r="F24" s="352" t="s">
        <v>46</v>
      </c>
      <c r="G24" s="336">
        <f>SUM(G25:G30)</f>
        <v>9054</v>
      </c>
      <c r="H24" s="336">
        <f>SUM(H25:H30)</f>
        <v>9574</v>
      </c>
      <c r="I24" s="336">
        <f t="shared" si="3"/>
        <v>520</v>
      </c>
      <c r="J24" s="359"/>
    </row>
    <row r="25" spans="1:10" ht="33" customHeight="1">
      <c r="A25" s="338" t="s">
        <v>47</v>
      </c>
      <c r="B25" s="341">
        <v>22898</v>
      </c>
      <c r="C25" s="341">
        <v>26441</v>
      </c>
      <c r="D25" s="341">
        <f t="shared" si="2"/>
        <v>3543</v>
      </c>
      <c r="E25" s="351"/>
      <c r="F25" s="380" t="s">
        <v>48</v>
      </c>
      <c r="G25" s="341">
        <v>4087</v>
      </c>
      <c r="H25" s="341">
        <f>4272+51</f>
        <v>4323</v>
      </c>
      <c r="I25" s="336">
        <f t="shared" si="3"/>
        <v>236</v>
      </c>
      <c r="J25" s="351" t="s">
        <v>49</v>
      </c>
    </row>
    <row r="26" spans="1:10" ht="32.25" customHeight="1">
      <c r="A26" s="387" t="s">
        <v>50</v>
      </c>
      <c r="B26" s="341">
        <v>512</v>
      </c>
      <c r="C26" s="341">
        <v>470</v>
      </c>
      <c r="D26" s="341">
        <f t="shared" si="2"/>
        <v>-42</v>
      </c>
      <c r="E26" s="354"/>
      <c r="F26" s="107" t="s">
        <v>51</v>
      </c>
      <c r="G26" s="341">
        <v>4195</v>
      </c>
      <c r="H26" s="341">
        <v>4421</v>
      </c>
      <c r="I26" s="336">
        <f t="shared" si="3"/>
        <v>226</v>
      </c>
      <c r="J26" s="351" t="s">
        <v>52</v>
      </c>
    </row>
    <row r="27" spans="1:10" ht="42.75" customHeight="1">
      <c r="A27" s="387" t="s">
        <v>53</v>
      </c>
      <c r="B27" s="355">
        <v>1919</v>
      </c>
      <c r="C27" s="355">
        <v>1919</v>
      </c>
      <c r="D27" s="341">
        <f t="shared" si="2"/>
        <v>0</v>
      </c>
      <c r="E27" s="356" t="s">
        <v>54</v>
      </c>
      <c r="F27" s="380" t="s">
        <v>55</v>
      </c>
      <c r="G27" s="344">
        <v>738</v>
      </c>
      <c r="H27" s="344">
        <f>499+60+238</f>
        <v>797</v>
      </c>
      <c r="I27" s="336">
        <f t="shared" si="3"/>
        <v>59</v>
      </c>
      <c r="J27" s="351" t="s">
        <v>56</v>
      </c>
    </row>
    <row r="28" spans="1:10" ht="48" customHeight="1">
      <c r="A28" s="387" t="s">
        <v>57</v>
      </c>
      <c r="B28" s="341">
        <v>1082</v>
      </c>
      <c r="C28" s="341">
        <v>1082</v>
      </c>
      <c r="D28" s="341">
        <f t="shared" si="2"/>
        <v>0</v>
      </c>
      <c r="E28" s="351" t="s">
        <v>58</v>
      </c>
      <c r="F28" s="380" t="s">
        <v>59</v>
      </c>
      <c r="G28" s="342">
        <v>34</v>
      </c>
      <c r="H28" s="342">
        <v>33</v>
      </c>
      <c r="I28" s="336">
        <f t="shared" si="3"/>
        <v>-1</v>
      </c>
      <c r="J28" s="351" t="s">
        <v>60</v>
      </c>
    </row>
    <row r="29" spans="1:10" ht="30.75" customHeight="1">
      <c r="A29" s="387" t="s">
        <v>61</v>
      </c>
      <c r="B29" s="341">
        <v>459</v>
      </c>
      <c r="C29" s="341">
        <v>459</v>
      </c>
      <c r="D29" s="341">
        <f t="shared" si="2"/>
        <v>0</v>
      </c>
      <c r="E29" s="351" t="s">
        <v>62</v>
      </c>
      <c r="F29" s="384"/>
      <c r="G29" s="342"/>
      <c r="H29" s="342"/>
      <c r="I29" s="336"/>
      <c r="J29" s="338"/>
    </row>
    <row r="30" spans="1:10" ht="30.75" customHeight="1">
      <c r="A30" s="387" t="s">
        <v>63</v>
      </c>
      <c r="B30" s="341"/>
      <c r="C30" s="341">
        <v>18</v>
      </c>
      <c r="D30" s="341">
        <f t="shared" si="2"/>
        <v>18</v>
      </c>
      <c r="E30" s="359"/>
      <c r="F30" s="384"/>
      <c r="G30" s="342"/>
      <c r="H30" s="342"/>
      <c r="I30" s="336"/>
      <c r="J30" s="338"/>
    </row>
    <row r="31" spans="1:10" ht="35.25" customHeight="1">
      <c r="A31" s="387" t="s">
        <v>64</v>
      </c>
      <c r="B31" s="341">
        <v>7495</v>
      </c>
      <c r="C31" s="341">
        <v>9099</v>
      </c>
      <c r="D31" s="341">
        <f t="shared" si="2"/>
        <v>1604</v>
      </c>
      <c r="E31" s="359"/>
      <c r="F31" s="357" t="s">
        <v>65</v>
      </c>
      <c r="G31" s="336">
        <v>215</v>
      </c>
      <c r="H31" s="336">
        <v>132</v>
      </c>
      <c r="I31" s="336">
        <f t="shared" ref="I31:I45" si="4">H31-G31</f>
        <v>-83</v>
      </c>
      <c r="J31" s="359" t="s">
        <v>66</v>
      </c>
    </row>
    <row r="32" spans="1:10" ht="26.25" customHeight="1">
      <c r="A32" s="387" t="s">
        <v>67</v>
      </c>
      <c r="B32" s="341">
        <v>30</v>
      </c>
      <c r="C32" s="341">
        <v>30</v>
      </c>
      <c r="D32" s="341">
        <f t="shared" si="2"/>
        <v>0</v>
      </c>
      <c r="E32" s="359"/>
      <c r="F32" s="357" t="s">
        <v>68</v>
      </c>
      <c r="G32" s="336">
        <f>SUM(G33:G37)</f>
        <v>5215</v>
      </c>
      <c r="H32" s="336">
        <f>SUM(H33:H37)</f>
        <v>1117.1400000000001</v>
      </c>
      <c r="I32" s="336">
        <f t="shared" si="4"/>
        <v>-4097.8599999999997</v>
      </c>
      <c r="J32" s="359"/>
    </row>
    <row r="33" spans="1:10" ht="24.95" customHeight="1">
      <c r="A33" s="387" t="s">
        <v>69</v>
      </c>
      <c r="B33" s="341">
        <v>400</v>
      </c>
      <c r="C33" s="341">
        <v>400</v>
      </c>
      <c r="D33" s="341">
        <f t="shared" si="2"/>
        <v>0</v>
      </c>
      <c r="E33" s="359"/>
      <c r="F33" s="380" t="s">
        <v>70</v>
      </c>
      <c r="G33" s="342">
        <v>1166</v>
      </c>
      <c r="H33" s="342"/>
      <c r="I33" s="336">
        <f t="shared" si="4"/>
        <v>-1166</v>
      </c>
      <c r="J33" s="351"/>
    </row>
    <row r="34" spans="1:10" ht="27" customHeight="1">
      <c r="A34" s="387"/>
      <c r="B34" s="341"/>
      <c r="C34" s="341">
        <v>59</v>
      </c>
      <c r="D34" s="341"/>
      <c r="E34" s="359"/>
      <c r="F34" s="380" t="s">
        <v>71</v>
      </c>
      <c r="G34" s="342">
        <v>3080</v>
      </c>
      <c r="H34" s="342"/>
      <c r="I34" s="336">
        <f t="shared" si="4"/>
        <v>-3080</v>
      </c>
      <c r="J34" s="351"/>
    </row>
    <row r="35" spans="1:10" ht="26.25" customHeight="1">
      <c r="A35" s="387"/>
      <c r="B35" s="341"/>
      <c r="C35" s="341">
        <v>617</v>
      </c>
      <c r="D35" s="341"/>
      <c r="E35" s="359"/>
      <c r="F35" s="380" t="s">
        <v>72</v>
      </c>
      <c r="G35" s="342">
        <v>26</v>
      </c>
      <c r="H35" s="342"/>
      <c r="I35" s="336">
        <f t="shared" si="4"/>
        <v>-26</v>
      </c>
      <c r="J35" s="351"/>
    </row>
    <row r="36" spans="1:10" ht="23.25" customHeight="1">
      <c r="A36" s="335" t="s">
        <v>73</v>
      </c>
      <c r="B36" s="333">
        <f>SUM(B37:B37)</f>
        <v>2000</v>
      </c>
      <c r="C36" s="333">
        <f>SUM(C37:C37)</f>
        <v>0</v>
      </c>
      <c r="D36" s="333">
        <f>C36-B36</f>
        <v>-2000</v>
      </c>
      <c r="E36" s="359"/>
      <c r="F36" s="380" t="s">
        <v>74</v>
      </c>
      <c r="G36" s="342">
        <v>341</v>
      </c>
      <c r="H36" s="342">
        <v>425</v>
      </c>
      <c r="I36" s="336">
        <f t="shared" si="4"/>
        <v>84</v>
      </c>
      <c r="J36" s="351"/>
    </row>
    <row r="37" spans="1:10" ht="25.5" customHeight="1">
      <c r="A37" s="338" t="s">
        <v>75</v>
      </c>
      <c r="B37" s="341">
        <v>2000</v>
      </c>
      <c r="C37" s="341"/>
      <c r="D37" s="341">
        <f>C37-B37</f>
        <v>-2000</v>
      </c>
      <c r="E37" s="359"/>
      <c r="F37" s="380" t="s">
        <v>76</v>
      </c>
      <c r="G37" s="342">
        <v>602</v>
      </c>
      <c r="H37" s="342">
        <f>85.98+41.88+67.98+306.34+174.18+15.78</f>
        <v>692.14</v>
      </c>
      <c r="I37" s="336">
        <f t="shared" si="4"/>
        <v>90.14</v>
      </c>
      <c r="J37" s="351" t="s">
        <v>77</v>
      </c>
    </row>
    <row r="38" spans="1:10" ht="24" customHeight="1">
      <c r="A38" s="338"/>
      <c r="B38" s="341"/>
      <c r="C38" s="341"/>
      <c r="D38" s="341"/>
      <c r="E38" s="338"/>
      <c r="F38" s="339" t="s">
        <v>78</v>
      </c>
      <c r="G38" s="336">
        <f>SUM(G39:G43)</f>
        <v>27013</v>
      </c>
      <c r="H38" s="336">
        <f>SUM(H39:H43)</f>
        <v>0</v>
      </c>
      <c r="I38" s="336">
        <f t="shared" si="4"/>
        <v>-27013</v>
      </c>
      <c r="J38" s="335"/>
    </row>
    <row r="39" spans="1:10" ht="24" customHeight="1">
      <c r="A39" s="388" t="s">
        <v>79</v>
      </c>
      <c r="B39" s="333">
        <f>B40</f>
        <v>5565</v>
      </c>
      <c r="C39" s="333">
        <f>C40</f>
        <v>5000</v>
      </c>
      <c r="D39" s="333">
        <f>C39-B39</f>
        <v>-565</v>
      </c>
      <c r="E39" s="359"/>
      <c r="F39" s="389" t="s">
        <v>80</v>
      </c>
      <c r="G39" s="342">
        <v>3300</v>
      </c>
      <c r="H39" s="342"/>
      <c r="I39" s="342">
        <f t="shared" si="4"/>
        <v>-3300</v>
      </c>
      <c r="J39" s="351"/>
    </row>
    <row r="40" spans="1:10" ht="24" customHeight="1">
      <c r="A40" s="390" t="s">
        <v>81</v>
      </c>
      <c r="B40" s="333">
        <v>5565</v>
      </c>
      <c r="C40" s="333">
        <v>5000</v>
      </c>
      <c r="D40" s="333">
        <f>C40-B40</f>
        <v>-565</v>
      </c>
      <c r="E40" s="338"/>
      <c r="F40" s="391" t="s">
        <v>82</v>
      </c>
      <c r="G40" s="342">
        <v>1000</v>
      </c>
      <c r="H40" s="342"/>
      <c r="I40" s="342">
        <f t="shared" si="4"/>
        <v>-1000</v>
      </c>
      <c r="J40" s="351"/>
    </row>
    <row r="41" spans="1:10" ht="24" customHeight="1">
      <c r="A41" s="338"/>
      <c r="B41" s="333"/>
      <c r="C41" s="333"/>
      <c r="D41" s="333"/>
      <c r="E41" s="359"/>
      <c r="F41" s="392" t="s">
        <v>83</v>
      </c>
      <c r="G41" s="342">
        <v>8480</v>
      </c>
      <c r="H41" s="342"/>
      <c r="I41" s="342">
        <f t="shared" si="4"/>
        <v>-8480</v>
      </c>
      <c r="J41" s="351" t="s">
        <v>84</v>
      </c>
    </row>
    <row r="42" spans="1:10" ht="23.1" customHeight="1">
      <c r="A42" s="338"/>
      <c r="B42" s="333"/>
      <c r="C42" s="333"/>
      <c r="D42" s="333"/>
      <c r="E42" s="359"/>
      <c r="F42" s="392" t="s">
        <v>85</v>
      </c>
      <c r="G42" s="342">
        <v>12833</v>
      </c>
      <c r="H42" s="342"/>
      <c r="I42" s="342">
        <f t="shared" si="4"/>
        <v>-12833</v>
      </c>
      <c r="J42" s="351" t="s">
        <v>86</v>
      </c>
    </row>
    <row r="43" spans="1:10" ht="28.5" customHeight="1">
      <c r="A43" s="338"/>
      <c r="B43" s="333"/>
      <c r="C43" s="333"/>
      <c r="D43" s="333"/>
      <c r="E43" s="338"/>
      <c r="F43" s="392" t="s">
        <v>87</v>
      </c>
      <c r="G43" s="342">
        <v>1400</v>
      </c>
      <c r="H43" s="342"/>
      <c r="I43" s="342">
        <f t="shared" si="4"/>
        <v>-1400</v>
      </c>
      <c r="J43" s="395"/>
    </row>
    <row r="44" spans="1:10" ht="24.95" customHeight="1">
      <c r="A44" s="393"/>
      <c r="B44" s="333"/>
      <c r="C44" s="333"/>
      <c r="D44" s="333"/>
      <c r="E44" s="338"/>
      <c r="F44" s="394" t="s">
        <v>88</v>
      </c>
      <c r="G44" s="336">
        <v>514</v>
      </c>
      <c r="H44" s="336"/>
      <c r="I44" s="336">
        <f t="shared" si="4"/>
        <v>-514</v>
      </c>
      <c r="J44" s="338"/>
    </row>
    <row r="45" spans="1:10" ht="26.25" customHeight="1">
      <c r="A45" s="331" t="s">
        <v>89</v>
      </c>
      <c r="B45" s="333">
        <f>B8+B23+B36+B39</f>
        <v>85317</v>
      </c>
      <c r="C45" s="333">
        <f>C8+C23+C36+C39</f>
        <v>86039</v>
      </c>
      <c r="D45" s="334">
        <f>C45-B45</f>
        <v>722</v>
      </c>
      <c r="E45" s="335"/>
      <c r="F45" s="333" t="s">
        <v>89</v>
      </c>
      <c r="G45" s="367">
        <f>G5+G44</f>
        <v>77751.600000000006</v>
      </c>
      <c r="H45" s="367">
        <f>H5+H44</f>
        <v>56391.74</v>
      </c>
      <c r="I45" s="336">
        <f t="shared" si="4"/>
        <v>-21359.86</v>
      </c>
      <c r="J45" s="374"/>
    </row>
    <row r="46" spans="1:10" ht="26.1" customHeight="1">
      <c r="A46" s="399" t="s">
        <v>90</v>
      </c>
      <c r="B46" s="399"/>
      <c r="C46" s="399"/>
      <c r="D46" s="399"/>
      <c r="E46" s="399"/>
      <c r="F46" s="399"/>
      <c r="G46" s="400">
        <f>C45-H45</f>
        <v>29647.26</v>
      </c>
      <c r="H46" s="400"/>
      <c r="I46" s="400"/>
      <c r="J46" s="400"/>
    </row>
    <row r="51" spans="5:5">
      <c r="E51" s="368"/>
    </row>
  </sheetData>
  <mergeCells count="9">
    <mergeCell ref="A2:J2"/>
    <mergeCell ref="E3:F3"/>
    <mergeCell ref="A46:F46"/>
    <mergeCell ref="G46:J46"/>
    <mergeCell ref="A5:A7"/>
    <mergeCell ref="B5:B7"/>
    <mergeCell ref="C5:C7"/>
    <mergeCell ref="D5:D7"/>
    <mergeCell ref="E5:E7"/>
  </mergeCells>
  <phoneticPr fontId="59" type="noConversion"/>
  <printOptions horizontalCentered="1"/>
  <pageMargins left="0.196527777777778" right="0.196527777777778" top="0.196527777777778" bottom="0.196527777777778" header="0.51111111111111096" footer="0.51111111111111096"/>
  <pageSetup paperSize="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G8" sqref="G8"/>
    </sheetView>
  </sheetViews>
  <sheetFormatPr defaultColWidth="9" defaultRowHeight="14.25"/>
  <cols>
    <col min="1" max="1" width="8.875" style="132" customWidth="1"/>
    <col min="2" max="2" width="7.25" style="132" customWidth="1"/>
    <col min="3" max="3" width="16.5" style="132" customWidth="1"/>
    <col min="4" max="4" width="15.125" style="132" customWidth="1"/>
    <col min="5" max="5" width="9.375" style="132" customWidth="1"/>
    <col min="6" max="6" width="8.125" style="132" customWidth="1"/>
    <col min="7" max="7" width="10.75" style="132" customWidth="1"/>
    <col min="8" max="8" width="7.875" style="132" customWidth="1"/>
    <col min="9" max="9" width="6.125" style="132" customWidth="1"/>
    <col min="10" max="10" width="8.875" style="132" customWidth="1"/>
    <col min="11" max="11" width="9.125" style="132" customWidth="1"/>
    <col min="12" max="12" width="13.125" style="132" customWidth="1"/>
    <col min="13" max="16384" width="9" style="132"/>
  </cols>
  <sheetData>
    <row r="1" spans="1:13" ht="44.25" customHeight="1">
      <c r="A1" s="454" t="s">
        <v>308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</row>
    <row r="2" spans="1:13" ht="24.75" customHeight="1">
      <c r="E2" s="455">
        <v>43815</v>
      </c>
      <c r="F2" s="456"/>
      <c r="G2" s="456"/>
      <c r="H2" s="133"/>
      <c r="I2" s="133"/>
      <c r="J2" s="144"/>
      <c r="K2" s="457" t="s">
        <v>2</v>
      </c>
      <c r="L2" s="457"/>
    </row>
    <row r="3" spans="1:13" ht="24.75" customHeight="1">
      <c r="A3" s="461" t="s">
        <v>309</v>
      </c>
      <c r="B3" s="461" t="s">
        <v>310</v>
      </c>
      <c r="C3" s="461" t="s">
        <v>311</v>
      </c>
      <c r="D3" s="461" t="s">
        <v>312</v>
      </c>
      <c r="E3" s="448" t="s">
        <v>313</v>
      </c>
      <c r="F3" s="449"/>
      <c r="G3" s="450"/>
      <c r="H3" s="458" t="s">
        <v>7</v>
      </c>
      <c r="I3" s="459"/>
      <c r="J3" s="459"/>
      <c r="K3" s="459"/>
      <c r="L3" s="460"/>
    </row>
    <row r="4" spans="1:13" ht="28.5" customHeight="1">
      <c r="A4" s="462"/>
      <c r="B4" s="462"/>
      <c r="C4" s="462"/>
      <c r="D4" s="463"/>
      <c r="E4" s="134" t="s">
        <v>89</v>
      </c>
      <c r="F4" s="134" t="s">
        <v>314</v>
      </c>
      <c r="G4" s="135" t="s">
        <v>315</v>
      </c>
      <c r="H4" s="136" t="s">
        <v>316</v>
      </c>
      <c r="I4" s="136" t="s">
        <v>317</v>
      </c>
      <c r="J4" s="145" t="s">
        <v>318</v>
      </c>
      <c r="K4" s="145" t="s">
        <v>318</v>
      </c>
      <c r="L4" s="143" t="s">
        <v>319</v>
      </c>
    </row>
    <row r="5" spans="1:13" ht="30.75" customHeight="1">
      <c r="A5" s="137">
        <v>2014</v>
      </c>
      <c r="B5" s="137">
        <v>880</v>
      </c>
      <c r="C5" s="138" t="s">
        <v>320</v>
      </c>
      <c r="D5" s="137" t="s">
        <v>321</v>
      </c>
      <c r="E5" s="139">
        <f>F5+G5</f>
        <v>7.25</v>
      </c>
      <c r="F5" s="140"/>
      <c r="G5" s="138">
        <f>ROUND(176*4.12%,2)</f>
        <v>7.25</v>
      </c>
      <c r="H5" s="137"/>
      <c r="I5" s="137"/>
      <c r="J5" s="137"/>
      <c r="K5" s="137"/>
      <c r="L5" s="146" t="s">
        <v>322</v>
      </c>
    </row>
    <row r="6" spans="1:13" ht="30.75" customHeight="1">
      <c r="A6" s="137"/>
      <c r="B6" s="137"/>
      <c r="C6" s="138"/>
      <c r="D6" s="137"/>
      <c r="E6" s="139"/>
      <c r="F6" s="140"/>
      <c r="G6" s="138"/>
      <c r="H6" s="137"/>
      <c r="I6" s="137"/>
      <c r="J6" s="137"/>
      <c r="K6" s="137"/>
      <c r="L6" s="141"/>
    </row>
    <row r="7" spans="1:13" ht="30.75" customHeight="1">
      <c r="A7" s="137"/>
      <c r="B7" s="137"/>
      <c r="C7" s="138"/>
      <c r="D7" s="137"/>
      <c r="E7" s="139"/>
      <c r="F7" s="140"/>
      <c r="G7" s="138"/>
      <c r="H7" s="137"/>
      <c r="I7" s="137"/>
      <c r="J7" s="137"/>
      <c r="K7" s="137"/>
      <c r="L7" s="147"/>
    </row>
    <row r="8" spans="1:13" ht="30.75" customHeight="1">
      <c r="A8" s="137"/>
      <c r="B8" s="137"/>
      <c r="C8" s="138"/>
      <c r="D8" s="137"/>
      <c r="E8" s="139"/>
      <c r="F8" s="140"/>
      <c r="G8" s="138"/>
      <c r="H8" s="137"/>
      <c r="I8" s="137"/>
      <c r="J8" s="137"/>
      <c r="K8" s="137"/>
      <c r="L8" s="141"/>
    </row>
    <row r="9" spans="1:13" ht="30.75" customHeight="1">
      <c r="A9" s="137"/>
      <c r="B9" s="137"/>
      <c r="C9" s="138"/>
      <c r="D9" s="137"/>
      <c r="E9" s="139"/>
      <c r="F9" s="140"/>
      <c r="G9" s="138"/>
      <c r="H9" s="137"/>
      <c r="I9" s="137"/>
      <c r="J9" s="137"/>
      <c r="K9" s="137"/>
      <c r="L9" s="147"/>
    </row>
    <row r="10" spans="1:13" ht="59.25" customHeight="1">
      <c r="A10" s="134" t="s">
        <v>89</v>
      </c>
      <c r="B10" s="134">
        <f>SUM(B5:B8)</f>
        <v>880</v>
      </c>
      <c r="C10" s="134"/>
      <c r="D10" s="141"/>
      <c r="E10" s="142">
        <f>SUM(E5:E9)</f>
        <v>7.25</v>
      </c>
      <c r="F10" s="143">
        <f>SUM(F5:F7)</f>
        <v>0</v>
      </c>
      <c r="G10" s="143">
        <f>SUM(G5:G9)</f>
        <v>7.25</v>
      </c>
      <c r="H10" s="141"/>
      <c r="I10" s="141"/>
      <c r="J10" s="141"/>
      <c r="K10" s="141"/>
      <c r="L10" s="148"/>
      <c r="M10" s="149"/>
    </row>
  </sheetData>
  <mergeCells count="9">
    <mergeCell ref="A1:L1"/>
    <mergeCell ref="E2:G2"/>
    <mergeCell ref="K2:L2"/>
    <mergeCell ref="E3:G3"/>
    <mergeCell ref="H3:L3"/>
    <mergeCell ref="A3:A4"/>
    <mergeCell ref="B3:B4"/>
    <mergeCell ref="C3:C4"/>
    <mergeCell ref="D3:D4"/>
  </mergeCells>
  <phoneticPr fontId="59" type="noConversion"/>
  <pageMargins left="0.75" right="0.75" top="1" bottom="1" header="0.5" footer="0.5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pane xSplit="1" ySplit="4" topLeftCell="B32" activePane="bottomRight" state="frozen"/>
      <selection pane="topRight"/>
      <selection pane="bottomLeft"/>
      <selection pane="bottomRight" activeCell="E45" sqref="E45"/>
    </sheetView>
  </sheetViews>
  <sheetFormatPr defaultColWidth="9" defaultRowHeight="14.25"/>
  <cols>
    <col min="1" max="1" width="36" customWidth="1"/>
    <col min="2" max="5" width="9.875" customWidth="1"/>
    <col min="6" max="6" width="11" customWidth="1"/>
    <col min="7" max="7" width="38.625" customWidth="1"/>
  </cols>
  <sheetData>
    <row r="1" spans="1:8" ht="17.100000000000001" customHeight="1">
      <c r="A1" t="s">
        <v>323</v>
      </c>
    </row>
    <row r="2" spans="1:8" ht="24" customHeight="1">
      <c r="A2" s="464" t="s">
        <v>324</v>
      </c>
      <c r="B2" s="464"/>
      <c r="C2" s="464"/>
      <c r="D2" s="464"/>
      <c r="E2" s="464"/>
      <c r="F2" s="464"/>
      <c r="G2" s="464"/>
    </row>
    <row r="3" spans="1:8" ht="18.95" customHeight="1">
      <c r="B3" s="465"/>
      <c r="C3" s="465"/>
      <c r="D3" s="465"/>
      <c r="E3" s="465"/>
      <c r="F3" s="465"/>
      <c r="G3" s="88" t="s">
        <v>2</v>
      </c>
    </row>
    <row r="4" spans="1:8" ht="51" customHeight="1">
      <c r="A4" s="12" t="s">
        <v>325</v>
      </c>
      <c r="B4" s="89" t="s">
        <v>326</v>
      </c>
      <c r="C4" s="89" t="s">
        <v>327</v>
      </c>
      <c r="D4" s="89" t="s">
        <v>328</v>
      </c>
      <c r="E4" s="89" t="s">
        <v>329</v>
      </c>
      <c r="F4" s="28" t="s">
        <v>330</v>
      </c>
      <c r="G4" s="10" t="s">
        <v>7</v>
      </c>
    </row>
    <row r="5" spans="1:8" ht="21.95" customHeight="1">
      <c r="A5" s="123" t="s">
        <v>331</v>
      </c>
      <c r="B5" s="91"/>
      <c r="C5" s="91"/>
      <c r="D5" s="91"/>
      <c r="E5" s="91"/>
      <c r="F5" s="91"/>
      <c r="G5" s="81"/>
    </row>
    <row r="6" spans="1:8" ht="20.100000000000001" customHeight="1">
      <c r="A6" s="124" t="s">
        <v>131</v>
      </c>
      <c r="B6" s="125">
        <f>25723+2754</f>
        <v>28477</v>
      </c>
      <c r="C6" s="125">
        <f>22520+2445</f>
        <v>24965</v>
      </c>
      <c r="D6" s="125"/>
      <c r="E6" s="125">
        <v>24965</v>
      </c>
      <c r="F6" s="125">
        <f t="shared" ref="F6:F42" si="0">D6-C6</f>
        <v>-24965</v>
      </c>
      <c r="G6" s="93"/>
    </row>
    <row r="7" spans="1:8" ht="20.100000000000001" customHeight="1">
      <c r="A7" s="124" t="s">
        <v>132</v>
      </c>
      <c r="B7" s="125">
        <v>11877</v>
      </c>
      <c r="C7" s="125">
        <v>12877</v>
      </c>
      <c r="D7" s="125"/>
      <c r="E7" s="125">
        <v>12877</v>
      </c>
      <c r="F7" s="125">
        <f t="shared" si="0"/>
        <v>-12877</v>
      </c>
      <c r="G7" s="94"/>
    </row>
    <row r="8" spans="1:8" ht="23.25" customHeight="1">
      <c r="A8" s="11" t="s">
        <v>273</v>
      </c>
      <c r="B8" s="11">
        <f>SUM(B6:B7)</f>
        <v>40354</v>
      </c>
      <c r="C8" s="11">
        <f>SUM(C6:C7)</f>
        <v>37842</v>
      </c>
      <c r="D8" s="11">
        <f>SUM(D6:D7)</f>
        <v>0</v>
      </c>
      <c r="E8" s="11">
        <f>SUM(E6:E7)</f>
        <v>37842</v>
      </c>
      <c r="F8" s="11">
        <f t="shared" si="0"/>
        <v>-37842</v>
      </c>
      <c r="G8" s="12"/>
      <c r="H8">
        <v>36421</v>
      </c>
    </row>
    <row r="9" spans="1:8" ht="39.950000000000003" customHeight="1">
      <c r="A9" s="40" t="s">
        <v>332</v>
      </c>
      <c r="B9" s="11">
        <v>2603</v>
      </c>
      <c r="C9" s="11">
        <v>2603</v>
      </c>
      <c r="D9" s="11">
        <f>1455+1020+128</f>
        <v>2603</v>
      </c>
      <c r="E9" s="11">
        <v>2603</v>
      </c>
      <c r="F9" s="11">
        <f t="shared" si="0"/>
        <v>0</v>
      </c>
      <c r="G9" s="111" t="s">
        <v>333</v>
      </c>
      <c r="H9">
        <v>2603</v>
      </c>
    </row>
    <row r="10" spans="1:8" ht="20.100000000000001" customHeight="1">
      <c r="A10" s="40" t="s">
        <v>334</v>
      </c>
      <c r="B10" s="11">
        <f>B11+B16</f>
        <v>22898</v>
      </c>
      <c r="C10" s="11">
        <f>C11+C16</f>
        <v>30178</v>
      </c>
      <c r="D10" s="11">
        <f>D11+D16</f>
        <v>447</v>
      </c>
      <c r="E10" s="11">
        <f>E11+E16</f>
        <v>26441</v>
      </c>
      <c r="F10" s="11">
        <f t="shared" si="0"/>
        <v>-29731</v>
      </c>
      <c r="G10" s="96"/>
      <c r="H10">
        <v>23354</v>
      </c>
    </row>
    <row r="11" spans="1:8" ht="20.100000000000001" customHeight="1">
      <c r="A11" s="97" t="s">
        <v>335</v>
      </c>
      <c r="B11" s="125">
        <v>22451</v>
      </c>
      <c r="C11" s="125">
        <f>SUM(C12:C15)</f>
        <v>29731</v>
      </c>
      <c r="D11" s="125">
        <f>SUM(D12:D15)</f>
        <v>0</v>
      </c>
      <c r="E11" s="125">
        <f>SUM(E12:E15)</f>
        <v>25994</v>
      </c>
      <c r="F11" s="125">
        <f t="shared" si="0"/>
        <v>-29731</v>
      </c>
      <c r="G11" s="98"/>
    </row>
    <row r="12" spans="1:8" ht="20.100000000000001" customHeight="1">
      <c r="A12" s="99" t="s">
        <v>336</v>
      </c>
      <c r="B12" s="126">
        <v>3357</v>
      </c>
      <c r="C12" s="126">
        <v>3557</v>
      </c>
      <c r="D12" s="126"/>
      <c r="E12" s="126"/>
      <c r="F12" s="125">
        <f t="shared" si="0"/>
        <v>-3557</v>
      </c>
      <c r="G12" s="101"/>
    </row>
    <row r="13" spans="1:8" ht="20.100000000000001" customHeight="1">
      <c r="A13" s="99" t="s">
        <v>337</v>
      </c>
      <c r="B13" s="127">
        <v>10653</v>
      </c>
      <c r="C13" s="127">
        <v>10653</v>
      </c>
      <c r="D13" s="127"/>
      <c r="E13" s="127">
        <v>17184</v>
      </c>
      <c r="F13" s="125">
        <f t="shared" si="0"/>
        <v>-10653</v>
      </c>
      <c r="G13" s="103"/>
    </row>
    <row r="14" spans="1:8" ht="20.100000000000001" customHeight="1">
      <c r="A14" s="99" t="s">
        <v>338</v>
      </c>
      <c r="B14" s="127">
        <v>4303</v>
      </c>
      <c r="C14" s="127">
        <v>4303</v>
      </c>
      <c r="D14" s="127"/>
      <c r="E14" s="127">
        <f>6810+2000</f>
        <v>8810</v>
      </c>
      <c r="F14" s="125">
        <f t="shared" si="0"/>
        <v>-4303</v>
      </c>
      <c r="G14" s="104"/>
    </row>
    <row r="15" spans="1:8" ht="20.100000000000001" customHeight="1">
      <c r="A15" s="99" t="s">
        <v>339</v>
      </c>
      <c r="B15" s="18">
        <v>3938</v>
      </c>
      <c r="C15" s="18">
        <f>3938+7280</f>
        <v>11218</v>
      </c>
      <c r="D15" s="18"/>
      <c r="E15" s="18"/>
      <c r="F15" s="125">
        <f t="shared" si="0"/>
        <v>-11218</v>
      </c>
      <c r="G15" s="106" t="s">
        <v>340</v>
      </c>
    </row>
    <row r="16" spans="1:8" ht="20.100000000000001" customHeight="1">
      <c r="A16" s="124" t="s">
        <v>341</v>
      </c>
      <c r="B16" s="18">
        <v>447</v>
      </c>
      <c r="C16" s="18">
        <v>447</v>
      </c>
      <c r="D16" s="18">
        <v>447</v>
      </c>
      <c r="E16" s="18">
        <v>447</v>
      </c>
      <c r="F16" s="125">
        <f t="shared" si="0"/>
        <v>0</v>
      </c>
      <c r="G16" s="108"/>
    </row>
    <row r="17" spans="1:8" ht="20.100000000000001" customHeight="1">
      <c r="A17" s="40" t="s">
        <v>342</v>
      </c>
      <c r="B17" s="11">
        <v>512</v>
      </c>
      <c r="C17" s="11">
        <v>512</v>
      </c>
      <c r="D17" s="11">
        <v>520</v>
      </c>
      <c r="E17" s="11">
        <v>470</v>
      </c>
      <c r="F17" s="11">
        <f t="shared" si="0"/>
        <v>8</v>
      </c>
      <c r="G17" s="110"/>
      <c r="H17">
        <v>512</v>
      </c>
    </row>
    <row r="18" spans="1:8" ht="20.100000000000001" customHeight="1">
      <c r="A18" s="40" t="s">
        <v>343</v>
      </c>
      <c r="B18" s="11">
        <v>1919</v>
      </c>
      <c r="C18" s="11">
        <v>2256</v>
      </c>
      <c r="D18" s="11">
        <v>1912</v>
      </c>
      <c r="E18" s="11">
        <v>1919</v>
      </c>
      <c r="F18" s="11">
        <f t="shared" si="0"/>
        <v>-344</v>
      </c>
      <c r="G18" s="111"/>
      <c r="H18">
        <v>1918</v>
      </c>
    </row>
    <row r="19" spans="1:8" ht="20.100000000000001" customHeight="1">
      <c r="A19" s="40" t="s">
        <v>344</v>
      </c>
      <c r="B19" s="11">
        <v>1082</v>
      </c>
      <c r="C19" s="11">
        <v>1082</v>
      </c>
      <c r="D19" s="11">
        <v>1082</v>
      </c>
      <c r="E19" s="11">
        <v>1082</v>
      </c>
      <c r="F19" s="11">
        <f t="shared" si="0"/>
        <v>0</v>
      </c>
      <c r="G19" s="96"/>
      <c r="H19" s="112">
        <v>1082</v>
      </c>
    </row>
    <row r="20" spans="1:8" ht="20.100000000000001" customHeight="1">
      <c r="A20" s="124" t="s">
        <v>345</v>
      </c>
      <c r="B20" s="18">
        <v>762</v>
      </c>
      <c r="C20" s="18">
        <v>762</v>
      </c>
      <c r="D20" s="18">
        <v>762</v>
      </c>
      <c r="E20" s="18">
        <v>762</v>
      </c>
      <c r="F20" s="125">
        <f t="shared" si="0"/>
        <v>0</v>
      </c>
      <c r="G20" s="113"/>
    </row>
    <row r="21" spans="1:8" ht="20.100000000000001" customHeight="1">
      <c r="A21" s="124" t="s">
        <v>346</v>
      </c>
      <c r="B21" s="18">
        <v>175</v>
      </c>
      <c r="C21" s="18">
        <v>175</v>
      </c>
      <c r="D21" s="18">
        <v>175</v>
      </c>
      <c r="E21" s="18">
        <v>175</v>
      </c>
      <c r="F21" s="125">
        <f t="shared" si="0"/>
        <v>0</v>
      </c>
      <c r="G21" s="113"/>
    </row>
    <row r="22" spans="1:8" ht="20.100000000000001" customHeight="1">
      <c r="A22" s="124" t="s">
        <v>347</v>
      </c>
      <c r="B22" s="18">
        <v>145</v>
      </c>
      <c r="C22" s="18">
        <v>145</v>
      </c>
      <c r="D22" s="18">
        <v>145</v>
      </c>
      <c r="E22" s="18">
        <v>145</v>
      </c>
      <c r="F22" s="125">
        <f t="shared" si="0"/>
        <v>0</v>
      </c>
      <c r="G22" s="113"/>
    </row>
    <row r="23" spans="1:8" ht="20.100000000000001" customHeight="1">
      <c r="A23" s="40" t="s">
        <v>348</v>
      </c>
      <c r="B23" s="11">
        <v>459</v>
      </c>
      <c r="C23" s="11">
        <v>459</v>
      </c>
      <c r="D23" s="11">
        <v>459</v>
      </c>
      <c r="E23" s="11">
        <v>459</v>
      </c>
      <c r="F23" s="11">
        <f t="shared" si="0"/>
        <v>0</v>
      </c>
      <c r="G23" s="114"/>
      <c r="H23" s="112">
        <v>459</v>
      </c>
    </row>
    <row r="24" spans="1:8" ht="20.100000000000001" customHeight="1">
      <c r="A24" s="40" t="s">
        <v>63</v>
      </c>
      <c r="B24" s="11"/>
      <c r="C24" s="11">
        <v>18</v>
      </c>
      <c r="D24" s="11">
        <v>18</v>
      </c>
      <c r="E24" s="11">
        <v>18</v>
      </c>
      <c r="F24" s="11">
        <f t="shared" si="0"/>
        <v>0</v>
      </c>
      <c r="G24" s="115"/>
    </row>
    <row r="25" spans="1:8" ht="20.100000000000001" customHeight="1">
      <c r="A25" s="40" t="s">
        <v>349</v>
      </c>
      <c r="B25" s="11">
        <f>SUM(B26:B38)</f>
        <v>7495</v>
      </c>
      <c r="C25" s="11">
        <f>SUM(C26:C38)</f>
        <v>9099</v>
      </c>
      <c r="D25" s="11">
        <f>SUM(D26:D38)</f>
        <v>9099</v>
      </c>
      <c r="E25" s="11">
        <f>SUM(E26:E38)</f>
        <v>9099</v>
      </c>
      <c r="F25" s="11">
        <f t="shared" si="0"/>
        <v>0</v>
      </c>
      <c r="G25" s="115"/>
      <c r="H25">
        <v>7351</v>
      </c>
    </row>
    <row r="26" spans="1:8" ht="20.100000000000001" customHeight="1">
      <c r="A26" s="124" t="s">
        <v>350</v>
      </c>
      <c r="B26" s="18">
        <v>836</v>
      </c>
      <c r="C26" s="18">
        <v>836</v>
      </c>
      <c r="D26" s="18">
        <v>836</v>
      </c>
      <c r="E26" s="18">
        <v>836</v>
      </c>
      <c r="F26" s="125">
        <f t="shared" si="0"/>
        <v>0</v>
      </c>
      <c r="G26" s="113"/>
    </row>
    <row r="27" spans="1:8" ht="20.100000000000001" customHeight="1">
      <c r="A27" s="124" t="s">
        <v>351</v>
      </c>
      <c r="B27" s="18">
        <v>3047</v>
      </c>
      <c r="C27" s="18">
        <v>3047</v>
      </c>
      <c r="D27" s="18">
        <v>3047</v>
      </c>
      <c r="E27" s="18">
        <v>3047</v>
      </c>
      <c r="F27" s="125">
        <f t="shared" si="0"/>
        <v>0</v>
      </c>
      <c r="G27" s="113"/>
    </row>
    <row r="28" spans="1:8" ht="20.100000000000001" customHeight="1">
      <c r="A28" s="124" t="s">
        <v>352</v>
      </c>
      <c r="B28" s="18">
        <v>220</v>
      </c>
      <c r="C28" s="18">
        <v>220</v>
      </c>
      <c r="D28" s="18">
        <v>220</v>
      </c>
      <c r="E28" s="18">
        <v>220</v>
      </c>
      <c r="F28" s="125">
        <f t="shared" si="0"/>
        <v>0</v>
      </c>
      <c r="G28" s="113"/>
    </row>
    <row r="29" spans="1:8" ht="20.100000000000001" customHeight="1">
      <c r="A29" s="124" t="s">
        <v>353</v>
      </c>
      <c r="B29" s="18">
        <v>891</v>
      </c>
      <c r="C29" s="18">
        <v>891</v>
      </c>
      <c r="D29" s="18">
        <v>891</v>
      </c>
      <c r="E29" s="18">
        <v>891</v>
      </c>
      <c r="F29" s="125">
        <f t="shared" si="0"/>
        <v>0</v>
      </c>
      <c r="G29" s="113"/>
    </row>
    <row r="30" spans="1:8" ht="20.100000000000001" customHeight="1">
      <c r="A30" s="124" t="s">
        <v>354</v>
      </c>
      <c r="B30" s="18">
        <v>643</v>
      </c>
      <c r="C30" s="18">
        <v>643</v>
      </c>
      <c r="D30" s="18">
        <v>643</v>
      </c>
      <c r="E30" s="18">
        <v>643</v>
      </c>
      <c r="F30" s="125">
        <f t="shared" si="0"/>
        <v>0</v>
      </c>
      <c r="G30" s="113"/>
    </row>
    <row r="31" spans="1:8" ht="20.100000000000001" customHeight="1">
      <c r="A31" s="124" t="s">
        <v>355</v>
      </c>
      <c r="B31" s="18">
        <v>216</v>
      </c>
      <c r="C31" s="18">
        <v>216</v>
      </c>
      <c r="D31" s="18">
        <v>216</v>
      </c>
      <c r="E31" s="18">
        <v>216</v>
      </c>
      <c r="F31" s="125">
        <f t="shared" si="0"/>
        <v>0</v>
      </c>
      <c r="G31" s="128" t="s">
        <v>356</v>
      </c>
    </row>
    <row r="32" spans="1:8" ht="20.100000000000001" customHeight="1">
      <c r="A32" s="124" t="s">
        <v>357</v>
      </c>
      <c r="B32" s="18">
        <v>545</v>
      </c>
      <c r="C32" s="18">
        <v>545</v>
      </c>
      <c r="D32" s="18">
        <v>545</v>
      </c>
      <c r="E32" s="18">
        <v>545</v>
      </c>
      <c r="F32" s="125">
        <f t="shared" si="0"/>
        <v>0</v>
      </c>
      <c r="G32" s="98" t="s">
        <v>358</v>
      </c>
    </row>
    <row r="33" spans="1:9" ht="20.100000000000001" customHeight="1">
      <c r="A33" s="124" t="s">
        <v>359</v>
      </c>
      <c r="B33" s="129">
        <v>179</v>
      </c>
      <c r="C33" s="129">
        <v>179</v>
      </c>
      <c r="D33" s="129">
        <v>179</v>
      </c>
      <c r="E33" s="129">
        <v>179</v>
      </c>
      <c r="F33" s="125">
        <f t="shared" si="0"/>
        <v>0</v>
      </c>
      <c r="G33" s="108" t="s">
        <v>360</v>
      </c>
    </row>
    <row r="34" spans="1:9" ht="20.100000000000001" customHeight="1">
      <c r="A34" s="124" t="s">
        <v>361</v>
      </c>
      <c r="B34" s="129">
        <v>480</v>
      </c>
      <c r="C34" s="129">
        <v>480</v>
      </c>
      <c r="D34" s="129">
        <v>480</v>
      </c>
      <c r="E34" s="129">
        <v>480</v>
      </c>
      <c r="F34" s="125">
        <f t="shared" si="0"/>
        <v>0</v>
      </c>
      <c r="G34" s="108" t="s">
        <v>362</v>
      </c>
    </row>
    <row r="35" spans="1:9" ht="20.100000000000001" customHeight="1">
      <c r="A35" s="124" t="s">
        <v>363</v>
      </c>
      <c r="B35" s="129">
        <v>291</v>
      </c>
      <c r="C35" s="129">
        <v>291</v>
      </c>
      <c r="D35" s="129">
        <v>291</v>
      </c>
      <c r="E35" s="129">
        <v>291</v>
      </c>
      <c r="F35" s="125">
        <f t="shared" si="0"/>
        <v>0</v>
      </c>
      <c r="G35" s="108" t="s">
        <v>360</v>
      </c>
    </row>
    <row r="36" spans="1:9" ht="26.1" customHeight="1">
      <c r="A36" s="124" t="s">
        <v>364</v>
      </c>
      <c r="B36" s="129">
        <v>147</v>
      </c>
      <c r="C36" s="129">
        <v>147</v>
      </c>
      <c r="D36" s="129">
        <v>147</v>
      </c>
      <c r="E36" s="129">
        <v>147</v>
      </c>
      <c r="F36" s="125">
        <f t="shared" si="0"/>
        <v>0</v>
      </c>
      <c r="G36" s="130" t="s">
        <v>365</v>
      </c>
    </row>
    <row r="37" spans="1:9" ht="27" customHeight="1">
      <c r="A37" s="124" t="s">
        <v>366</v>
      </c>
      <c r="B37" s="18"/>
      <c r="C37" s="18">
        <f>130+162+47+1252+13</f>
        <v>1604</v>
      </c>
      <c r="D37" s="18">
        <f>130+162+47+1252+13</f>
        <v>1604</v>
      </c>
      <c r="E37" s="18">
        <f>130+162+47+1252+13</f>
        <v>1604</v>
      </c>
      <c r="F37" s="125">
        <f t="shared" si="0"/>
        <v>0</v>
      </c>
      <c r="G37" s="118" t="s">
        <v>367</v>
      </c>
    </row>
    <row r="38" spans="1:9" ht="20.100000000000001" customHeight="1">
      <c r="A38" s="124" t="s">
        <v>368</v>
      </c>
      <c r="B38" s="18"/>
      <c r="C38" s="18"/>
      <c r="D38" s="18"/>
      <c r="E38" s="18"/>
      <c r="F38" s="125">
        <f t="shared" si="0"/>
        <v>0</v>
      </c>
      <c r="G38" s="118"/>
    </row>
    <row r="39" spans="1:9" ht="20.100000000000001" customHeight="1">
      <c r="A39" s="40" t="s">
        <v>369</v>
      </c>
      <c r="B39" s="11">
        <f>SUM(B40:B44)</f>
        <v>430</v>
      </c>
      <c r="C39" s="11">
        <f>SUM(C40:C44)</f>
        <v>10412</v>
      </c>
      <c r="D39" s="11">
        <f>SUM(D40:D44)</f>
        <v>0</v>
      </c>
      <c r="E39" s="11">
        <f>SUM(E40:E44)</f>
        <v>1106</v>
      </c>
      <c r="F39" s="11">
        <f t="shared" si="0"/>
        <v>-10412</v>
      </c>
      <c r="G39" s="114"/>
      <c r="H39">
        <v>430</v>
      </c>
    </row>
    <row r="40" spans="1:9" ht="20.100000000000001" customHeight="1">
      <c r="A40" s="124" t="s">
        <v>67</v>
      </c>
      <c r="B40" s="18">
        <v>30</v>
      </c>
      <c r="C40" s="18">
        <v>30</v>
      </c>
      <c r="D40" s="18"/>
      <c r="E40" s="18">
        <v>30</v>
      </c>
      <c r="F40" s="125">
        <f t="shared" si="0"/>
        <v>-30</v>
      </c>
      <c r="G40" s="113"/>
    </row>
    <row r="41" spans="1:9" ht="20.100000000000001" customHeight="1">
      <c r="A41" s="124" t="s">
        <v>105</v>
      </c>
      <c r="B41" s="129"/>
      <c r="C41" s="129">
        <v>617</v>
      </c>
      <c r="D41" s="129"/>
      <c r="E41" s="129">
        <v>617</v>
      </c>
      <c r="F41" s="125">
        <f t="shared" si="0"/>
        <v>-617</v>
      </c>
      <c r="G41" s="118"/>
    </row>
    <row r="42" spans="1:9" ht="20.100000000000001" customHeight="1">
      <c r="A42" s="124" t="s">
        <v>370</v>
      </c>
      <c r="B42" s="129">
        <v>400</v>
      </c>
      <c r="C42" s="129">
        <v>400</v>
      </c>
      <c r="D42" s="129"/>
      <c r="E42" s="129">
        <v>400</v>
      </c>
      <c r="F42" s="125">
        <f t="shared" si="0"/>
        <v>-400</v>
      </c>
      <c r="G42" s="117" t="s">
        <v>360</v>
      </c>
    </row>
    <row r="43" spans="1:9" ht="20.100000000000001" customHeight="1">
      <c r="A43" s="124" t="s">
        <v>104</v>
      </c>
      <c r="B43" s="129"/>
      <c r="C43" s="129">
        <v>59</v>
      </c>
      <c r="D43" s="129"/>
      <c r="E43" s="129">
        <v>59</v>
      </c>
      <c r="F43" s="125"/>
      <c r="G43" s="117"/>
    </row>
    <row r="44" spans="1:9" ht="20.100000000000001" customHeight="1">
      <c r="A44" s="124" t="s">
        <v>371</v>
      </c>
      <c r="B44" s="129"/>
      <c r="C44" s="129">
        <v>9306</v>
      </c>
      <c r="D44" s="129"/>
      <c r="E44" s="129"/>
      <c r="F44" s="125">
        <f t="shared" ref="F44:F49" si="1">D44-C44</f>
        <v>-9306</v>
      </c>
      <c r="G44" s="118"/>
    </row>
    <row r="45" spans="1:9" ht="20.100000000000001" customHeight="1">
      <c r="A45" s="11" t="s">
        <v>372</v>
      </c>
      <c r="B45" s="11">
        <f>B9+B10+B17+B18+B19+B23+B24+B25+B39</f>
        <v>37398</v>
      </c>
      <c r="C45" s="11">
        <f>C9+C10+C17+C18+C19+C23+C24+C25+C39</f>
        <v>56619</v>
      </c>
      <c r="D45" s="11">
        <f>D9+D10+D17+D18+D19+D23+D24+D25+D39</f>
        <v>16140</v>
      </c>
      <c r="E45" s="11">
        <f>E9+E10+E17+E18+E19+E23+E24+E25+E39</f>
        <v>43197</v>
      </c>
      <c r="F45" s="11">
        <f t="shared" si="1"/>
        <v>-40479</v>
      </c>
      <c r="G45" s="115"/>
      <c r="H45" s="112">
        <f>H9+H10+H17+H18+H19+H23+H25+H39</f>
        <v>37709</v>
      </c>
      <c r="I45" t="e">
        <f>B45-#REF!</f>
        <v>#REF!</v>
      </c>
    </row>
    <row r="46" spans="1:9" ht="21" customHeight="1">
      <c r="A46" s="11" t="s">
        <v>373</v>
      </c>
      <c r="B46" s="11"/>
      <c r="C46" s="11"/>
      <c r="D46" s="11"/>
      <c r="E46" s="11"/>
      <c r="F46" s="11">
        <f t="shared" si="1"/>
        <v>0</v>
      </c>
      <c r="G46" s="120"/>
    </row>
    <row r="47" spans="1:9" ht="20.100000000000001" customHeight="1">
      <c r="A47" s="11" t="s">
        <v>374</v>
      </c>
      <c r="B47" s="11"/>
      <c r="C47" s="11">
        <v>1348</v>
      </c>
      <c r="D47" s="11"/>
      <c r="E47" s="11"/>
      <c r="F47" s="11">
        <f t="shared" si="1"/>
        <v>-1348</v>
      </c>
      <c r="G47" s="120"/>
    </row>
    <row r="48" spans="1:9" ht="20.100000000000001" customHeight="1">
      <c r="A48" s="11" t="s">
        <v>375</v>
      </c>
      <c r="B48" s="11"/>
      <c r="C48" s="11">
        <f>8100+2600+13100</f>
        <v>23800</v>
      </c>
      <c r="D48" s="11"/>
      <c r="E48" s="11">
        <v>5000</v>
      </c>
      <c r="F48" s="11">
        <f t="shared" si="1"/>
        <v>-23800</v>
      </c>
      <c r="G48" s="120"/>
    </row>
    <row r="49" spans="1:7" ht="21" customHeight="1">
      <c r="A49" s="11" t="s">
        <v>376</v>
      </c>
      <c r="B49" s="11">
        <f>B8+B45+B46+B47+B48</f>
        <v>77752</v>
      </c>
      <c r="C49" s="11">
        <f>C8+C45+C46+C47+C48</f>
        <v>119609</v>
      </c>
      <c r="D49" s="11">
        <f>D8+D45+D46+D47+D48</f>
        <v>16140</v>
      </c>
      <c r="E49" s="11">
        <f>E8+E45+E46+E47+E48</f>
        <v>86039</v>
      </c>
      <c r="F49" s="11">
        <f t="shared" si="1"/>
        <v>-103469</v>
      </c>
      <c r="G49" s="131"/>
    </row>
  </sheetData>
  <mergeCells count="2">
    <mergeCell ref="A2:G2"/>
    <mergeCell ref="B3:F3"/>
  </mergeCells>
  <phoneticPr fontId="59" type="noConversion"/>
  <printOptions horizontalCentered="1"/>
  <pageMargins left="0.196527777777778" right="0.196527777777778" top="0.196527777777778" bottom="0.196527777777778" header="0.51111111111111096" footer="0.51111111111111096"/>
  <pageSetup paperSize="9" scale="75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pane xSplit="1" ySplit="4" topLeftCell="B5" activePane="bottomRight" state="frozen"/>
      <selection pane="topRight"/>
      <selection pane="bottomLeft"/>
      <selection pane="bottomRight" activeCell="D12" sqref="D12"/>
    </sheetView>
  </sheetViews>
  <sheetFormatPr defaultColWidth="9" defaultRowHeight="14.25"/>
  <cols>
    <col min="1" max="1" width="44.625" customWidth="1"/>
    <col min="2" max="2" width="12.5" customWidth="1"/>
    <col min="3" max="3" width="15.25" customWidth="1"/>
    <col min="4" max="4" width="14" customWidth="1"/>
    <col min="5" max="5" width="14.375" customWidth="1"/>
    <col min="6" max="6" width="54.625" customWidth="1"/>
  </cols>
  <sheetData>
    <row r="1" spans="1:7" ht="22.5" customHeight="1">
      <c r="A1" t="s">
        <v>323</v>
      </c>
    </row>
    <row r="2" spans="1:7" ht="24.75" customHeight="1">
      <c r="A2" s="464" t="s">
        <v>377</v>
      </c>
      <c r="B2" s="464"/>
      <c r="C2" s="464"/>
      <c r="D2" s="464"/>
      <c r="E2" s="464"/>
      <c r="F2" s="464"/>
    </row>
    <row r="3" spans="1:7" ht="20.25" customHeight="1">
      <c r="B3" s="466">
        <v>44028</v>
      </c>
      <c r="C3" s="465"/>
      <c r="D3" s="465"/>
      <c r="E3" s="465"/>
      <c r="F3" s="88" t="s">
        <v>2</v>
      </c>
    </row>
    <row r="4" spans="1:7" ht="42" customHeight="1">
      <c r="A4" s="12" t="s">
        <v>325</v>
      </c>
      <c r="B4" s="89" t="s">
        <v>378</v>
      </c>
      <c r="C4" s="89" t="s">
        <v>379</v>
      </c>
      <c r="D4" s="89" t="s">
        <v>380</v>
      </c>
      <c r="E4" s="28" t="s">
        <v>381</v>
      </c>
      <c r="F4" s="10" t="s">
        <v>7</v>
      </c>
    </row>
    <row r="5" spans="1:7" ht="21.95" customHeight="1">
      <c r="A5" s="90" t="s">
        <v>331</v>
      </c>
      <c r="B5" s="91"/>
      <c r="C5" s="91"/>
      <c r="D5" s="91"/>
      <c r="E5" s="91"/>
      <c r="F5" s="81"/>
    </row>
    <row r="6" spans="1:7" ht="24" customHeight="1">
      <c r="A6" s="92" t="s">
        <v>131</v>
      </c>
      <c r="B6" s="93">
        <f>24143+2528</f>
        <v>26671</v>
      </c>
      <c r="C6" s="93">
        <f>24267+2598</f>
        <v>26865</v>
      </c>
      <c r="D6" s="93">
        <f>37770-D7</f>
        <v>25241</v>
      </c>
      <c r="E6" s="93">
        <f t="shared" ref="E6:E11" si="0">D6-C6</f>
        <v>-1624</v>
      </c>
      <c r="F6" s="93"/>
    </row>
    <row r="7" spans="1:7" ht="23.1" customHeight="1">
      <c r="A7" s="92" t="s">
        <v>132</v>
      </c>
      <c r="B7" s="93">
        <v>9750</v>
      </c>
      <c r="C7" s="93">
        <v>11205</v>
      </c>
      <c r="D7" s="93">
        <v>12529</v>
      </c>
      <c r="E7" s="93">
        <f t="shared" si="0"/>
        <v>1324</v>
      </c>
      <c r="F7" s="94"/>
    </row>
    <row r="8" spans="1:7" ht="24" customHeight="1">
      <c r="A8" s="12" t="s">
        <v>273</v>
      </c>
      <c r="B8" s="12">
        <f>SUM(B6:B7)</f>
        <v>36421</v>
      </c>
      <c r="C8" s="12">
        <f>SUM(C6:C7)</f>
        <v>38070</v>
      </c>
      <c r="D8" s="12">
        <f>SUM(D6:D7)</f>
        <v>37770</v>
      </c>
      <c r="E8" s="12">
        <f t="shared" si="0"/>
        <v>-300</v>
      </c>
      <c r="F8" s="12"/>
      <c r="G8">
        <v>36421</v>
      </c>
    </row>
    <row r="9" spans="1:7" ht="45" customHeight="1">
      <c r="A9" s="95" t="s">
        <v>332</v>
      </c>
      <c r="B9" s="12">
        <v>2603</v>
      </c>
      <c r="C9" s="12">
        <v>2603</v>
      </c>
      <c r="D9" s="12">
        <f>1455+1020+128</f>
        <v>2603</v>
      </c>
      <c r="E9" s="12">
        <f t="shared" si="0"/>
        <v>0</v>
      </c>
      <c r="F9" s="96" t="s">
        <v>333</v>
      </c>
      <c r="G9">
        <v>2603</v>
      </c>
    </row>
    <row r="10" spans="1:7" ht="24.95" customHeight="1">
      <c r="A10" s="95" t="s">
        <v>334</v>
      </c>
      <c r="B10" s="12">
        <f>B11+B16</f>
        <v>22898</v>
      </c>
      <c r="C10" s="12">
        <f>C11+C16</f>
        <v>22910</v>
      </c>
      <c r="D10" s="12">
        <f>D11+D16</f>
        <v>25377</v>
      </c>
      <c r="E10" s="12">
        <f t="shared" si="0"/>
        <v>2467</v>
      </c>
      <c r="F10" s="96"/>
      <c r="G10">
        <v>23354</v>
      </c>
    </row>
    <row r="11" spans="1:7" ht="24.95" customHeight="1">
      <c r="A11" s="97" t="s">
        <v>335</v>
      </c>
      <c r="B11" s="93">
        <f>SUM(B12:B15)</f>
        <v>22451</v>
      </c>
      <c r="C11" s="93">
        <f>SUM(C12:C15)</f>
        <v>22463</v>
      </c>
      <c r="D11" s="93">
        <f>SUM(D12:D15)</f>
        <v>24930</v>
      </c>
      <c r="E11" s="93">
        <f t="shared" si="0"/>
        <v>2467</v>
      </c>
      <c r="F11" s="98"/>
    </row>
    <row r="12" spans="1:7" ht="23.1" customHeight="1">
      <c r="A12" s="99" t="s">
        <v>336</v>
      </c>
      <c r="B12" s="100">
        <v>3557</v>
      </c>
      <c r="C12" s="100">
        <v>3557</v>
      </c>
      <c r="D12" s="100">
        <v>3557</v>
      </c>
      <c r="E12" s="93">
        <f t="shared" ref="E12:E17" si="1">D12-C12</f>
        <v>0</v>
      </c>
      <c r="F12" s="101"/>
    </row>
    <row r="13" spans="1:7" ht="26.1" customHeight="1">
      <c r="A13" s="99" t="s">
        <v>337</v>
      </c>
      <c r="B13" s="102">
        <v>10653</v>
      </c>
      <c r="C13" s="102">
        <v>10653</v>
      </c>
      <c r="D13" s="102">
        <v>10653</v>
      </c>
      <c r="E13" s="93">
        <f t="shared" si="1"/>
        <v>0</v>
      </c>
      <c r="F13" s="103"/>
    </row>
    <row r="14" spans="1:7" ht="26.1" customHeight="1">
      <c r="A14" s="99" t="s">
        <v>338</v>
      </c>
      <c r="B14" s="102">
        <v>4303</v>
      </c>
      <c r="C14" s="102">
        <v>4303</v>
      </c>
      <c r="D14" s="102">
        <v>4303</v>
      </c>
      <c r="E14" s="93">
        <f t="shared" si="1"/>
        <v>0</v>
      </c>
      <c r="F14" s="104"/>
    </row>
    <row r="15" spans="1:7" ht="23.1" customHeight="1">
      <c r="A15" s="99" t="s">
        <v>339</v>
      </c>
      <c r="B15" s="105">
        <v>3938</v>
      </c>
      <c r="C15" s="105">
        <f>3938+12</f>
        <v>3950</v>
      </c>
      <c r="D15" s="105">
        <f>6927-10-500</f>
        <v>6417</v>
      </c>
      <c r="E15" s="93">
        <f t="shared" si="1"/>
        <v>2467</v>
      </c>
      <c r="F15" s="106" t="s">
        <v>382</v>
      </c>
    </row>
    <row r="16" spans="1:7" ht="24" customHeight="1">
      <c r="A16" s="107" t="s">
        <v>341</v>
      </c>
      <c r="B16" s="105">
        <v>447</v>
      </c>
      <c r="C16" s="105">
        <v>447</v>
      </c>
      <c r="D16" s="105">
        <v>447</v>
      </c>
      <c r="E16" s="93">
        <f t="shared" si="1"/>
        <v>0</v>
      </c>
      <c r="F16" s="108"/>
    </row>
    <row r="17" spans="1:7" ht="23.1" customHeight="1">
      <c r="A17" s="109" t="s">
        <v>342</v>
      </c>
      <c r="B17" s="12">
        <v>512</v>
      </c>
      <c r="C17" s="12">
        <v>520</v>
      </c>
      <c r="D17" s="12">
        <v>520</v>
      </c>
      <c r="E17" s="12">
        <f t="shared" si="1"/>
        <v>0</v>
      </c>
      <c r="F17" s="110"/>
      <c r="G17">
        <v>512</v>
      </c>
    </row>
    <row r="18" spans="1:7" ht="24" customHeight="1">
      <c r="A18" s="109" t="s">
        <v>343</v>
      </c>
      <c r="B18" s="12">
        <v>1919</v>
      </c>
      <c r="C18" s="12">
        <v>1912</v>
      </c>
      <c r="D18" s="12">
        <v>1912</v>
      </c>
      <c r="E18" s="12">
        <f t="shared" ref="E18:E26" si="2">D18-C18</f>
        <v>0</v>
      </c>
      <c r="F18" s="111"/>
      <c r="G18">
        <v>1918</v>
      </c>
    </row>
    <row r="19" spans="1:7" ht="23.1" customHeight="1">
      <c r="A19" s="109" t="s">
        <v>344</v>
      </c>
      <c r="B19" s="12">
        <v>1082</v>
      </c>
      <c r="C19" s="12">
        <v>1082</v>
      </c>
      <c r="D19" s="12">
        <v>1082</v>
      </c>
      <c r="E19" s="12">
        <f t="shared" si="2"/>
        <v>0</v>
      </c>
      <c r="F19" s="96"/>
      <c r="G19" s="112">
        <v>1082</v>
      </c>
    </row>
    <row r="20" spans="1:7" ht="27" customHeight="1">
      <c r="A20" s="107" t="s">
        <v>345</v>
      </c>
      <c r="B20" s="105">
        <v>762</v>
      </c>
      <c r="C20" s="105">
        <v>762</v>
      </c>
      <c r="D20" s="105">
        <v>762</v>
      </c>
      <c r="E20" s="93">
        <f t="shared" si="2"/>
        <v>0</v>
      </c>
      <c r="F20" s="113"/>
    </row>
    <row r="21" spans="1:7" ht="24" customHeight="1">
      <c r="A21" s="107" t="s">
        <v>346</v>
      </c>
      <c r="B21" s="105">
        <v>175</v>
      </c>
      <c r="C21" s="105">
        <v>175</v>
      </c>
      <c r="D21" s="105">
        <v>175</v>
      </c>
      <c r="E21" s="93">
        <f t="shared" si="2"/>
        <v>0</v>
      </c>
      <c r="F21" s="113"/>
    </row>
    <row r="22" spans="1:7" ht="24.95" customHeight="1">
      <c r="A22" s="107" t="s">
        <v>347</v>
      </c>
      <c r="B22" s="105">
        <v>145</v>
      </c>
      <c r="C22" s="105">
        <v>145</v>
      </c>
      <c r="D22" s="105">
        <v>145</v>
      </c>
      <c r="E22" s="93">
        <f t="shared" si="2"/>
        <v>0</v>
      </c>
      <c r="F22" s="113"/>
    </row>
    <row r="23" spans="1:7" ht="24.95" customHeight="1">
      <c r="A23" s="109" t="s">
        <v>348</v>
      </c>
      <c r="B23" s="12">
        <v>459</v>
      </c>
      <c r="C23" s="12">
        <v>459</v>
      </c>
      <c r="D23" s="12">
        <v>459</v>
      </c>
      <c r="E23" s="12">
        <f t="shared" si="2"/>
        <v>0</v>
      </c>
      <c r="F23" s="114"/>
      <c r="G23" s="112">
        <v>459</v>
      </c>
    </row>
    <row r="24" spans="1:7" ht="24" customHeight="1">
      <c r="A24" s="109" t="s">
        <v>63</v>
      </c>
      <c r="B24" s="12"/>
      <c r="C24" s="12"/>
      <c r="D24" s="12">
        <v>18</v>
      </c>
      <c r="E24" s="12">
        <f t="shared" si="2"/>
        <v>18</v>
      </c>
      <c r="F24" s="115"/>
    </row>
    <row r="25" spans="1:7" ht="24.95" customHeight="1">
      <c r="A25" s="109" t="s">
        <v>349</v>
      </c>
      <c r="B25" s="12">
        <f>SUM(B26:B38)</f>
        <v>7495</v>
      </c>
      <c r="C25" s="12">
        <f>SUM(C26:C38)</f>
        <v>7834</v>
      </c>
      <c r="D25" s="12">
        <f>SUM(D26:D38)</f>
        <v>7388</v>
      </c>
      <c r="E25" s="12">
        <f t="shared" si="2"/>
        <v>-446</v>
      </c>
      <c r="F25" s="115"/>
      <c r="G25">
        <v>7351</v>
      </c>
    </row>
    <row r="26" spans="1:7" ht="24.95" customHeight="1">
      <c r="A26" s="107" t="s">
        <v>350</v>
      </c>
      <c r="B26" s="105">
        <v>836</v>
      </c>
      <c r="C26" s="105">
        <v>836</v>
      </c>
      <c r="D26" s="105">
        <v>836</v>
      </c>
      <c r="E26" s="93">
        <f t="shared" si="2"/>
        <v>0</v>
      </c>
      <c r="F26" s="113"/>
    </row>
    <row r="27" spans="1:7" ht="24.95" customHeight="1">
      <c r="A27" s="107" t="s">
        <v>351</v>
      </c>
      <c r="B27" s="105">
        <v>3047</v>
      </c>
      <c r="C27" s="105">
        <v>3047</v>
      </c>
      <c r="D27" s="105">
        <v>3047</v>
      </c>
      <c r="E27" s="93">
        <f t="shared" ref="E27:E35" si="3">D27-C27</f>
        <v>0</v>
      </c>
      <c r="F27" s="113"/>
    </row>
    <row r="28" spans="1:7" ht="24.95" customHeight="1">
      <c r="A28" s="107" t="s">
        <v>352</v>
      </c>
      <c r="B28" s="105">
        <v>220</v>
      </c>
      <c r="C28" s="105">
        <v>220</v>
      </c>
      <c r="D28" s="105">
        <v>220</v>
      </c>
      <c r="E28" s="93">
        <f t="shared" si="3"/>
        <v>0</v>
      </c>
      <c r="F28" s="113"/>
    </row>
    <row r="29" spans="1:7" ht="24.95" customHeight="1">
      <c r="A29" s="107" t="s">
        <v>353</v>
      </c>
      <c r="B29" s="105">
        <v>891</v>
      </c>
      <c r="C29" s="105">
        <v>891</v>
      </c>
      <c r="D29" s="105">
        <v>907</v>
      </c>
      <c r="E29" s="93">
        <f t="shared" si="3"/>
        <v>16</v>
      </c>
      <c r="F29" s="113"/>
    </row>
    <row r="30" spans="1:7" ht="24.95" customHeight="1">
      <c r="A30" s="107" t="s">
        <v>354</v>
      </c>
      <c r="B30" s="105">
        <v>643</v>
      </c>
      <c r="C30" s="105">
        <v>643</v>
      </c>
      <c r="D30" s="105">
        <v>643</v>
      </c>
      <c r="E30" s="93">
        <f t="shared" si="3"/>
        <v>0</v>
      </c>
      <c r="F30" s="113"/>
    </row>
    <row r="31" spans="1:7" ht="24.95" customHeight="1">
      <c r="A31" s="107" t="s">
        <v>355</v>
      </c>
      <c r="B31" s="105">
        <v>216</v>
      </c>
      <c r="C31" s="105">
        <v>216</v>
      </c>
      <c r="D31" s="105">
        <f>109+27+26+54</f>
        <v>216</v>
      </c>
      <c r="E31" s="93">
        <f t="shared" si="3"/>
        <v>0</v>
      </c>
      <c r="F31" s="113" t="s">
        <v>356</v>
      </c>
    </row>
    <row r="32" spans="1:7" ht="24.95" customHeight="1">
      <c r="A32" s="107" t="s">
        <v>357</v>
      </c>
      <c r="B32" s="105">
        <v>545</v>
      </c>
      <c r="C32" s="105">
        <v>545</v>
      </c>
      <c r="D32" s="105">
        <f>545+19</f>
        <v>564</v>
      </c>
      <c r="E32" s="93">
        <f t="shared" si="3"/>
        <v>19</v>
      </c>
      <c r="F32" s="73" t="s">
        <v>358</v>
      </c>
    </row>
    <row r="33" spans="1:7" ht="24.95" customHeight="1">
      <c r="A33" s="107" t="s">
        <v>359</v>
      </c>
      <c r="B33" s="116">
        <v>179</v>
      </c>
      <c r="C33" s="116">
        <v>179</v>
      </c>
      <c r="D33" s="116"/>
      <c r="E33" s="93">
        <f t="shared" si="3"/>
        <v>-179</v>
      </c>
      <c r="F33" s="117" t="s">
        <v>360</v>
      </c>
    </row>
    <row r="34" spans="1:7" ht="24.95" customHeight="1">
      <c r="A34" s="107" t="s">
        <v>361</v>
      </c>
      <c r="B34" s="116">
        <v>480</v>
      </c>
      <c r="C34" s="116">
        <v>480</v>
      </c>
      <c r="D34" s="116">
        <f>480+69</f>
        <v>549</v>
      </c>
      <c r="E34" s="93">
        <f t="shared" si="3"/>
        <v>69</v>
      </c>
      <c r="F34" s="117" t="s">
        <v>362</v>
      </c>
    </row>
    <row r="35" spans="1:7" ht="24.95" customHeight="1">
      <c r="A35" s="107" t="s">
        <v>363</v>
      </c>
      <c r="B35" s="116">
        <v>291</v>
      </c>
      <c r="C35" s="116">
        <v>291</v>
      </c>
      <c r="D35" s="116"/>
      <c r="E35" s="93">
        <f t="shared" si="3"/>
        <v>-291</v>
      </c>
      <c r="F35" s="117" t="s">
        <v>360</v>
      </c>
    </row>
    <row r="36" spans="1:7" ht="24.95" customHeight="1">
      <c r="A36" s="107" t="s">
        <v>364</v>
      </c>
      <c r="B36" s="116">
        <v>147</v>
      </c>
      <c r="C36" s="116">
        <v>147</v>
      </c>
      <c r="D36" s="116">
        <v>54</v>
      </c>
      <c r="E36" s="93">
        <f t="shared" ref="E36:E41" si="4">D36-C36</f>
        <v>-93</v>
      </c>
      <c r="F36" s="98" t="s">
        <v>383</v>
      </c>
    </row>
    <row r="37" spans="1:7" ht="30" customHeight="1">
      <c r="A37" s="107" t="s">
        <v>366</v>
      </c>
      <c r="B37" s="105"/>
      <c r="C37" s="105">
        <f>130+162+47</f>
        <v>339</v>
      </c>
      <c r="D37" s="105">
        <f>130+162+13+47</f>
        <v>352</v>
      </c>
      <c r="E37" s="93">
        <f t="shared" si="4"/>
        <v>13</v>
      </c>
      <c r="F37" s="98" t="s">
        <v>384</v>
      </c>
    </row>
    <row r="38" spans="1:7" ht="24" customHeight="1">
      <c r="A38" s="107" t="s">
        <v>368</v>
      </c>
      <c r="B38" s="105"/>
      <c r="C38" s="105"/>
      <c r="D38" s="105"/>
      <c r="E38" s="93">
        <f t="shared" si="4"/>
        <v>0</v>
      </c>
      <c r="F38" s="118"/>
    </row>
    <row r="39" spans="1:7" ht="29.1" customHeight="1">
      <c r="A39" s="109" t="s">
        <v>369</v>
      </c>
      <c r="B39" s="12">
        <f>SUM(B40:B43)</f>
        <v>430</v>
      </c>
      <c r="C39" s="12">
        <f>SUM(C40:C43)</f>
        <v>532</v>
      </c>
      <c r="D39" s="12">
        <f>SUM(D40:D43)</f>
        <v>1047</v>
      </c>
      <c r="E39" s="12">
        <f t="shared" si="4"/>
        <v>515</v>
      </c>
      <c r="F39" s="114"/>
      <c r="G39">
        <v>430</v>
      </c>
    </row>
    <row r="40" spans="1:7" ht="27" customHeight="1">
      <c r="A40" s="92" t="s">
        <v>67</v>
      </c>
      <c r="B40" s="105">
        <v>30</v>
      </c>
      <c r="C40" s="105">
        <v>30</v>
      </c>
      <c r="D40" s="105">
        <v>30</v>
      </c>
      <c r="E40" s="93">
        <f t="shared" si="4"/>
        <v>0</v>
      </c>
      <c r="F40" s="113"/>
    </row>
    <row r="41" spans="1:7" ht="24" customHeight="1">
      <c r="A41" s="107" t="s">
        <v>105</v>
      </c>
      <c r="B41" s="116"/>
      <c r="C41" s="116"/>
      <c r="D41" s="116">
        <v>617</v>
      </c>
      <c r="E41" s="93">
        <f t="shared" si="4"/>
        <v>617</v>
      </c>
      <c r="F41" s="98"/>
    </row>
    <row r="42" spans="1:7" ht="24" customHeight="1">
      <c r="A42" s="107" t="s">
        <v>370</v>
      </c>
      <c r="B42" s="116">
        <v>400</v>
      </c>
      <c r="C42" s="116">
        <v>400</v>
      </c>
      <c r="D42" s="116">
        <v>400</v>
      </c>
      <c r="E42" s="93">
        <f t="shared" ref="E42:E47" si="5">D42-C42</f>
        <v>0</v>
      </c>
      <c r="F42" s="117" t="s">
        <v>360</v>
      </c>
    </row>
    <row r="43" spans="1:7" ht="30" customHeight="1">
      <c r="A43" s="107" t="s">
        <v>385</v>
      </c>
      <c r="B43" s="116"/>
      <c r="C43" s="116">
        <v>102</v>
      </c>
      <c r="D43" s="116"/>
      <c r="E43" s="93">
        <f t="shared" si="5"/>
        <v>-102</v>
      </c>
      <c r="F43" s="85" t="s">
        <v>386</v>
      </c>
    </row>
    <row r="44" spans="1:7" ht="24" customHeight="1">
      <c r="A44" s="12" t="s">
        <v>372</v>
      </c>
      <c r="B44" s="12">
        <f>B9+B10+B17+B18+B19+B23+B24+B25+B39</f>
        <v>37398</v>
      </c>
      <c r="C44" s="12">
        <f>C9+C10+C17+C18+C19+C23+C24+C25+C39</f>
        <v>37852</v>
      </c>
      <c r="D44" s="12">
        <f>D9+D10+D17+D18+D19+D23+D24+D25+D39</f>
        <v>40406</v>
      </c>
      <c r="E44" s="12">
        <f t="shared" si="5"/>
        <v>2554</v>
      </c>
      <c r="F44" s="115"/>
      <c r="G44" s="112">
        <f>G9+G10+G17+G18+G19+G23+G25+G39</f>
        <v>37709</v>
      </c>
    </row>
    <row r="45" spans="1:7" ht="33" customHeight="1">
      <c r="A45" s="12" t="s">
        <v>373</v>
      </c>
      <c r="B45" s="12">
        <v>2000</v>
      </c>
      <c r="C45" s="12">
        <f>2779-441</f>
        <v>2338</v>
      </c>
      <c r="D45" s="12">
        <v>2338</v>
      </c>
      <c r="E45" s="12">
        <f t="shared" si="5"/>
        <v>0</v>
      </c>
      <c r="F45" s="119" t="s">
        <v>387</v>
      </c>
    </row>
    <row r="46" spans="1:7" ht="27" customHeight="1">
      <c r="A46" s="12" t="s">
        <v>374</v>
      </c>
      <c r="B46" s="12"/>
      <c r="C46" s="12">
        <v>4100</v>
      </c>
      <c r="D46" s="12">
        <v>0</v>
      </c>
      <c r="E46" s="12">
        <f t="shared" si="5"/>
        <v>-4100</v>
      </c>
      <c r="F46" s="120"/>
    </row>
    <row r="47" spans="1:7" ht="26.1" customHeight="1">
      <c r="A47" s="12" t="s">
        <v>375</v>
      </c>
      <c r="B47" s="12">
        <v>5565</v>
      </c>
      <c r="C47" s="12">
        <f>10300</f>
        <v>10300</v>
      </c>
      <c r="D47" s="12">
        <f>10300+352</f>
        <v>10652</v>
      </c>
      <c r="E47" s="12">
        <f t="shared" si="5"/>
        <v>352</v>
      </c>
      <c r="F47" s="120"/>
    </row>
    <row r="48" spans="1:7" ht="26.1" customHeight="1">
      <c r="A48" s="12" t="s">
        <v>376</v>
      </c>
      <c r="B48" s="12">
        <f>B8+B44+B45+B46+B47</f>
        <v>81384</v>
      </c>
      <c r="C48" s="12">
        <f>C8+C44+C45+C46+C47</f>
        <v>92660</v>
      </c>
      <c r="D48" s="12">
        <f>D8+D44+D45+D46+D47</f>
        <v>91166</v>
      </c>
      <c r="E48" s="12">
        <f>E8+E44+E45+E46+E47</f>
        <v>-1494</v>
      </c>
      <c r="F48" s="120"/>
    </row>
    <row r="49" spans="1:6" ht="26.1" customHeight="1">
      <c r="A49" s="121" t="s">
        <v>388</v>
      </c>
      <c r="B49" s="63"/>
      <c r="C49" s="63"/>
      <c r="D49" s="63"/>
      <c r="E49" s="63">
        <f>514-3782</f>
        <v>-3268</v>
      </c>
      <c r="F49" s="120" t="s">
        <v>389</v>
      </c>
    </row>
    <row r="50" spans="1:6" ht="24" customHeight="1">
      <c r="A50" s="12" t="s">
        <v>390</v>
      </c>
      <c r="B50" s="12">
        <f>B8+B44+B45+B46+B47</f>
        <v>81384</v>
      </c>
      <c r="C50" s="12">
        <f>C8+C44+C45+C46+C47</f>
        <v>92660</v>
      </c>
      <c r="D50" s="12">
        <f>D8+D44+D45+D46+D47</f>
        <v>91166</v>
      </c>
      <c r="E50" s="12">
        <f>E48+E49</f>
        <v>-4762</v>
      </c>
      <c r="F50" s="122"/>
    </row>
  </sheetData>
  <mergeCells count="2">
    <mergeCell ref="A2:F2"/>
    <mergeCell ref="B3:E3"/>
  </mergeCells>
  <phoneticPr fontId="59" type="noConversion"/>
  <printOptions horizontalCentered="1"/>
  <pageMargins left="0.196527777777778" right="0.196527777777778" top="0.196527777777778" bottom="0.196527777777778" header="0.51111111111111096" footer="0.51111111111111096"/>
  <pageSetup paperSize="9" scale="60" orientation="portrait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32"/>
  <sheetViews>
    <sheetView view="pageBreakPreview" zoomScale="60" zoomScaleNormal="75" workbookViewId="0">
      <pane xSplit="1" ySplit="4" topLeftCell="B17" activePane="bottomRight" state="frozen"/>
      <selection pane="topRight"/>
      <selection pane="bottomLeft"/>
      <selection pane="bottomRight" activeCell="F44" sqref="F44"/>
    </sheetView>
  </sheetViews>
  <sheetFormatPr defaultColWidth="9" defaultRowHeight="14.25"/>
  <cols>
    <col min="1" max="1" width="33.375" customWidth="1"/>
    <col min="2" max="2" width="11.25" style="65" customWidth="1"/>
    <col min="3" max="3" width="13.5" style="65" customWidth="1"/>
    <col min="4" max="4" width="11.875" style="65" customWidth="1"/>
    <col min="5" max="5" width="15.875" style="65" customWidth="1"/>
    <col min="6" max="6" width="24.125" style="65" customWidth="1"/>
    <col min="7" max="7" width="47.125" customWidth="1"/>
    <col min="8" max="8" width="11.375" customWidth="1"/>
    <col min="9" max="9" width="9.75" customWidth="1"/>
  </cols>
  <sheetData>
    <row r="1" spans="1:18" ht="39.75" customHeight="1">
      <c r="A1" s="467" t="s">
        <v>391</v>
      </c>
      <c r="B1" s="467"/>
      <c r="C1" s="467"/>
      <c r="D1" s="467"/>
      <c r="E1" s="467"/>
      <c r="F1" s="467"/>
      <c r="G1" s="467"/>
    </row>
    <row r="2" spans="1:18" ht="33.75" customHeight="1">
      <c r="A2" s="66"/>
      <c r="B2" s="66"/>
      <c r="C2" s="468">
        <v>44173</v>
      </c>
      <c r="D2" s="469"/>
      <c r="E2" s="469"/>
      <c r="F2" s="469"/>
      <c r="G2" s="67" t="s">
        <v>2</v>
      </c>
    </row>
    <row r="3" spans="1:18" ht="36.75" customHeight="1">
      <c r="A3" s="68" t="s">
        <v>392</v>
      </c>
      <c r="B3" s="68">
        <v>2018</v>
      </c>
      <c r="C3" s="68">
        <v>2019</v>
      </c>
      <c r="D3" s="68">
        <v>2020</v>
      </c>
      <c r="E3" s="68">
        <v>2021</v>
      </c>
      <c r="F3" s="68" t="s">
        <v>393</v>
      </c>
      <c r="G3" s="68" t="s">
        <v>7</v>
      </c>
    </row>
    <row r="4" spans="1:18" ht="32.25" customHeight="1">
      <c r="A4" s="69" t="s">
        <v>394</v>
      </c>
      <c r="B4" s="68">
        <f>SUM(B5:B7)</f>
        <v>12598</v>
      </c>
      <c r="C4" s="68">
        <f>SUM(C5:C7)</f>
        <v>14642</v>
      </c>
      <c r="D4" s="68">
        <f>SUM(D5:D7)</f>
        <v>16051</v>
      </c>
      <c r="E4" s="68">
        <f>SUM(E5:E7)</f>
        <v>21224</v>
      </c>
      <c r="F4" s="68">
        <f>E4-D4</f>
        <v>5173</v>
      </c>
      <c r="G4" s="69"/>
    </row>
    <row r="5" spans="1:18" ht="69.95" customHeight="1">
      <c r="A5" s="70" t="s">
        <v>395</v>
      </c>
      <c r="B5" s="71">
        <f>11877-B6+ROUND((24823+2045*12)*70/10000,0)+ROUND((2068+2045)*3*70/10000,0)</f>
        <v>10718</v>
      </c>
      <c r="C5" s="71">
        <f>12831-C6+1649+27</f>
        <v>11780</v>
      </c>
      <c r="D5" s="71">
        <f>14307-D6+1391+204</f>
        <v>13579</v>
      </c>
      <c r="E5" s="71">
        <f>12019+1464+2300+260+2046</f>
        <v>18089</v>
      </c>
      <c r="F5" s="72">
        <f>E5-D5</f>
        <v>4510</v>
      </c>
      <c r="G5" s="73" t="s">
        <v>14</v>
      </c>
      <c r="H5" s="470"/>
      <c r="I5" s="471"/>
      <c r="J5" s="471"/>
      <c r="K5" s="471"/>
    </row>
    <row r="6" spans="1:18" ht="33.950000000000003" customHeight="1">
      <c r="A6" s="70" t="s">
        <v>396</v>
      </c>
      <c r="B6" s="71">
        <f>1950+14-373</f>
        <v>1591</v>
      </c>
      <c r="C6" s="71">
        <f>2030+1128-431</f>
        <v>2727</v>
      </c>
      <c r="D6" s="71">
        <f>2754-431</f>
        <v>2323</v>
      </c>
      <c r="E6" s="71">
        <f>2979</f>
        <v>2979</v>
      </c>
      <c r="F6" s="72">
        <f>E6-D6</f>
        <v>656</v>
      </c>
      <c r="G6" s="74"/>
      <c r="H6" s="472"/>
      <c r="I6" s="473"/>
      <c r="J6" s="473"/>
      <c r="K6" s="473"/>
    </row>
    <row r="7" spans="1:18" ht="62.1" customHeight="1">
      <c r="A7" s="70" t="s">
        <v>397</v>
      </c>
      <c r="B7" s="71">
        <f>146+19+71+82+100-129</f>
        <v>289</v>
      </c>
      <c r="C7" s="71">
        <f>198+71+30+100-302+38</f>
        <v>135</v>
      </c>
      <c r="D7" s="71">
        <f>185+27+71+30+100+38-302</f>
        <v>149</v>
      </c>
      <c r="E7" s="71">
        <f>192+27+71+30+100+38-302</f>
        <v>156</v>
      </c>
      <c r="F7" s="72">
        <f>E7-D7</f>
        <v>7</v>
      </c>
      <c r="G7" s="73" t="s">
        <v>398</v>
      </c>
      <c r="H7" s="472"/>
      <c r="I7" s="473"/>
      <c r="J7" s="473"/>
      <c r="K7" s="473"/>
    </row>
    <row r="8" spans="1:18" ht="31.5" customHeight="1">
      <c r="A8" s="75" t="s">
        <v>399</v>
      </c>
      <c r="B8" s="68">
        <f>SUM(B9:B11)</f>
        <v>16</v>
      </c>
      <c r="C8" s="68">
        <f>SUM(C9:C11)</f>
        <v>14</v>
      </c>
      <c r="D8" s="68">
        <f>SUM(D9:D11)</f>
        <v>14</v>
      </c>
      <c r="E8" s="68">
        <f>SUM(E9:E11)</f>
        <v>5</v>
      </c>
      <c r="F8" s="68">
        <f>D8-C8</f>
        <v>0</v>
      </c>
      <c r="G8" s="76"/>
    </row>
    <row r="9" spans="1:18" ht="29.25" customHeight="1">
      <c r="A9" s="70" t="s">
        <v>400</v>
      </c>
      <c r="B9" s="71"/>
      <c r="C9" s="71"/>
      <c r="D9" s="71"/>
      <c r="E9" s="71"/>
      <c r="F9" s="72">
        <f>E9-D9</f>
        <v>0</v>
      </c>
      <c r="G9" s="77" t="s">
        <v>401</v>
      </c>
      <c r="H9" s="78"/>
    </row>
    <row r="10" spans="1:18" ht="28.5" customHeight="1">
      <c r="A10" s="70" t="s">
        <v>402</v>
      </c>
      <c r="B10" s="71">
        <v>16</v>
      </c>
      <c r="C10" s="71">
        <v>14</v>
      </c>
      <c r="D10" s="71">
        <v>14</v>
      </c>
      <c r="E10" s="71">
        <v>5</v>
      </c>
      <c r="F10" s="72">
        <f t="shared" ref="F10:F28" si="0">E10-D10</f>
        <v>-9</v>
      </c>
      <c r="G10" s="77" t="s">
        <v>403</v>
      </c>
    </row>
    <row r="11" spans="1:18" ht="30.75" customHeight="1">
      <c r="A11" s="70" t="s">
        <v>396</v>
      </c>
      <c r="B11" s="71"/>
      <c r="C11" s="71"/>
      <c r="D11" s="71"/>
      <c r="E11" s="71"/>
      <c r="F11" s="72">
        <f t="shared" si="0"/>
        <v>0</v>
      </c>
      <c r="G11" s="74"/>
    </row>
    <row r="12" spans="1:18" ht="34.5" customHeight="1">
      <c r="A12" s="79" t="s">
        <v>404</v>
      </c>
      <c r="B12" s="72">
        <v>317</v>
      </c>
      <c r="C12" s="72">
        <f>11</f>
        <v>11</v>
      </c>
      <c r="D12" s="72">
        <f>1158-568-8-27</f>
        <v>555</v>
      </c>
      <c r="E12" s="72">
        <v>615</v>
      </c>
      <c r="F12" s="72">
        <f t="shared" si="0"/>
        <v>60</v>
      </c>
      <c r="G12" s="73"/>
    </row>
    <row r="13" spans="1:18" ht="31.5" customHeight="1">
      <c r="A13" s="79" t="s">
        <v>405</v>
      </c>
      <c r="B13" s="72">
        <v>1740</v>
      </c>
      <c r="C13" s="72">
        <f>(1555+57+57+564)*2</f>
        <v>4466</v>
      </c>
      <c r="D13" s="72">
        <f>ROUND(2.15*1793,0)</f>
        <v>3855</v>
      </c>
      <c r="E13" s="72">
        <f>3855+35</f>
        <v>3890</v>
      </c>
      <c r="F13" s="72">
        <f t="shared" si="0"/>
        <v>35</v>
      </c>
      <c r="G13" s="73" t="s">
        <v>406</v>
      </c>
      <c r="H13" s="474"/>
      <c r="I13" s="475"/>
      <c r="J13" s="475"/>
      <c r="K13" s="475"/>
      <c r="L13" s="475"/>
      <c r="M13" s="475"/>
      <c r="N13" s="475"/>
      <c r="O13" s="475"/>
      <c r="P13" s="475"/>
      <c r="Q13" s="475"/>
      <c r="R13" s="475"/>
    </row>
    <row r="14" spans="1:18" ht="42.95" customHeight="1">
      <c r="A14" s="79" t="s">
        <v>407</v>
      </c>
      <c r="B14" s="72">
        <v>289.58999999999997</v>
      </c>
      <c r="C14" s="72">
        <f>370.86-20.24-55.2</f>
        <v>295.42</v>
      </c>
      <c r="D14" s="72">
        <f>650-388-55-20</f>
        <v>187</v>
      </c>
      <c r="E14" s="72">
        <v>187</v>
      </c>
      <c r="F14" s="72">
        <f t="shared" si="0"/>
        <v>0</v>
      </c>
      <c r="G14" s="80" t="s">
        <v>408</v>
      </c>
      <c r="H14" s="81">
        <f>ROUND((645-387)+4144+758*(1688+1800)/10000+11600/2*601/10000,2)</f>
        <v>5014.97</v>
      </c>
    </row>
    <row r="15" spans="1:18" ht="29.25" customHeight="1">
      <c r="A15" s="79" t="s">
        <v>409</v>
      </c>
      <c r="B15" s="72">
        <v>6</v>
      </c>
      <c r="C15" s="72">
        <f>127*0.01+2*298*0.01+264*0.01</f>
        <v>9.8699999999999992</v>
      </c>
      <c r="D15" s="72"/>
      <c r="E15" s="72"/>
      <c r="F15" s="72">
        <f t="shared" si="0"/>
        <v>0</v>
      </c>
      <c r="G15" s="77" t="s">
        <v>410</v>
      </c>
    </row>
    <row r="16" spans="1:18" ht="30.95" customHeight="1">
      <c r="A16" s="79" t="s">
        <v>411</v>
      </c>
      <c r="B16" s="72">
        <v>15.3</v>
      </c>
      <c r="C16" s="72">
        <f>10+7</f>
        <v>17</v>
      </c>
      <c r="D16" s="72">
        <v>17</v>
      </c>
      <c r="E16" s="72">
        <v>17</v>
      </c>
      <c r="F16" s="72">
        <f t="shared" si="0"/>
        <v>0</v>
      </c>
      <c r="G16" s="77" t="s">
        <v>412</v>
      </c>
      <c r="I16">
        <v>4157400</v>
      </c>
    </row>
    <row r="17" spans="1:15" ht="30" customHeight="1">
      <c r="A17" s="79" t="s">
        <v>413</v>
      </c>
      <c r="B17" s="72">
        <v>7.7</v>
      </c>
      <c r="C17" s="72"/>
      <c r="D17" s="72"/>
      <c r="E17" s="72"/>
      <c r="F17" s="72">
        <f t="shared" si="0"/>
        <v>0</v>
      </c>
      <c r="G17" s="77"/>
      <c r="I17">
        <v>3423600</v>
      </c>
    </row>
    <row r="18" spans="1:15" ht="36" customHeight="1">
      <c r="A18" s="82" t="s">
        <v>414</v>
      </c>
      <c r="B18" s="72">
        <v>4.72</v>
      </c>
      <c r="C18" s="72">
        <v>4.72</v>
      </c>
      <c r="D18" s="72">
        <v>4.72</v>
      </c>
      <c r="E18" s="72">
        <v>4.72</v>
      </c>
      <c r="F18" s="72">
        <f t="shared" si="0"/>
        <v>0</v>
      </c>
      <c r="G18" s="74" t="s">
        <v>415</v>
      </c>
      <c r="I18">
        <v>623200</v>
      </c>
    </row>
    <row r="19" spans="1:15" ht="33" customHeight="1">
      <c r="A19" s="82" t="s">
        <v>416</v>
      </c>
      <c r="B19" s="72">
        <v>19</v>
      </c>
      <c r="C19" s="72">
        <v>19</v>
      </c>
      <c r="D19" s="72">
        <v>19</v>
      </c>
      <c r="E19" s="72"/>
      <c r="F19" s="72">
        <f t="shared" si="0"/>
        <v>-19</v>
      </c>
      <c r="G19" s="77"/>
      <c r="I19">
        <v>460400</v>
      </c>
    </row>
    <row r="20" spans="1:15" ht="33.950000000000003" customHeight="1">
      <c r="A20" s="82" t="s">
        <v>417</v>
      </c>
      <c r="B20" s="72">
        <v>10</v>
      </c>
      <c r="C20" s="72">
        <v>10</v>
      </c>
      <c r="D20" s="72">
        <v>10</v>
      </c>
      <c r="E20" s="72"/>
      <c r="F20" s="72">
        <f t="shared" si="0"/>
        <v>-10</v>
      </c>
      <c r="G20" s="77"/>
      <c r="I20">
        <v>130000</v>
      </c>
    </row>
    <row r="21" spans="1:15" ht="30.95" customHeight="1">
      <c r="A21" s="82" t="s">
        <v>418</v>
      </c>
      <c r="B21" s="72">
        <v>3</v>
      </c>
      <c r="C21" s="72">
        <v>3</v>
      </c>
      <c r="D21" s="72">
        <v>3</v>
      </c>
      <c r="E21" s="72">
        <v>3</v>
      </c>
      <c r="F21" s="72">
        <f t="shared" si="0"/>
        <v>0</v>
      </c>
      <c r="G21" s="77" t="s">
        <v>419</v>
      </c>
      <c r="H21" t="s">
        <v>420</v>
      </c>
      <c r="I21">
        <v>57800</v>
      </c>
      <c r="J21" s="476" t="s">
        <v>421</v>
      </c>
      <c r="K21" s="476"/>
      <c r="L21" s="473" t="s">
        <v>422</v>
      </c>
      <c r="M21" s="473"/>
      <c r="N21" s="473"/>
      <c r="O21" s="473"/>
    </row>
    <row r="22" spans="1:15" ht="36" customHeight="1">
      <c r="A22" s="82" t="s">
        <v>423</v>
      </c>
      <c r="B22" s="72">
        <v>10</v>
      </c>
      <c r="C22" s="72">
        <v>10</v>
      </c>
      <c r="D22" s="72">
        <v>10</v>
      </c>
      <c r="E22" s="72"/>
      <c r="F22" s="72">
        <f t="shared" si="0"/>
        <v>-10</v>
      </c>
      <c r="G22" s="77"/>
      <c r="J22" s="87"/>
      <c r="K22" s="87"/>
      <c r="L22" s="86"/>
      <c r="M22" s="86"/>
      <c r="N22" s="86"/>
      <c r="O22" s="86"/>
    </row>
    <row r="23" spans="1:15" ht="35.1" customHeight="1">
      <c r="A23" s="82" t="s">
        <v>424</v>
      </c>
      <c r="B23" s="72">
        <f>0.7*5</f>
        <v>3.5</v>
      </c>
      <c r="C23" s="72"/>
      <c r="D23" s="72"/>
      <c r="E23" s="72"/>
      <c r="F23" s="72">
        <f t="shared" si="0"/>
        <v>0</v>
      </c>
      <c r="G23" s="77"/>
      <c r="J23" s="87"/>
      <c r="K23" s="87"/>
      <c r="L23" s="86"/>
      <c r="M23" s="86"/>
      <c r="N23" s="86"/>
      <c r="O23" s="86"/>
    </row>
    <row r="24" spans="1:15" ht="30.95" customHeight="1">
      <c r="A24" s="82" t="s">
        <v>425</v>
      </c>
      <c r="B24" s="72">
        <v>5</v>
      </c>
      <c r="C24" s="72"/>
      <c r="D24" s="72"/>
      <c r="E24" s="72"/>
      <c r="F24" s="72">
        <f t="shared" si="0"/>
        <v>0</v>
      </c>
      <c r="G24" s="77"/>
      <c r="J24" s="87"/>
      <c r="K24" s="87"/>
      <c r="L24" s="86"/>
      <c r="M24" s="86"/>
      <c r="N24" s="86"/>
      <c r="O24" s="86"/>
    </row>
    <row r="25" spans="1:15" ht="33" customHeight="1">
      <c r="A25" s="82" t="s">
        <v>426</v>
      </c>
      <c r="B25" s="72">
        <v>37.51</v>
      </c>
      <c r="C25" s="83">
        <f>45.37+17.18+1.07</f>
        <v>63.62</v>
      </c>
      <c r="D25" s="83"/>
      <c r="E25" s="83"/>
      <c r="F25" s="72">
        <f t="shared" si="0"/>
        <v>0</v>
      </c>
      <c r="G25" s="74"/>
      <c r="H25" t="s">
        <v>420</v>
      </c>
      <c r="I25">
        <v>1480400</v>
      </c>
      <c r="J25" s="476" t="s">
        <v>427</v>
      </c>
      <c r="K25" s="476"/>
    </row>
    <row r="26" spans="1:15" ht="27.95" customHeight="1">
      <c r="A26" s="68" t="s">
        <v>89</v>
      </c>
      <c r="B26" s="68">
        <f>B4+B8+B12++B13+B14+B15+B16+B17+B19+B18+B20+B21+B22+B23+B25+B24</f>
        <v>15082.32</v>
      </c>
      <c r="C26" s="68">
        <f>C4+C8+C12++C13+C14+C15+C16+C17+C19+C18+C20+C21+C22+C23+C25+C24</f>
        <v>19565.63</v>
      </c>
      <c r="D26" s="68">
        <f>D4+D8+D12++D13+D14+D15+D16+D17+D19+D18+D20+D21+D22+D23+D25+D24</f>
        <v>20725.72</v>
      </c>
      <c r="E26" s="68">
        <f>E4+E8+E12++E13+E14+E15+E16+E17+E19+E18+E20+E21+E22+E23+E25+E24</f>
        <v>25945.72</v>
      </c>
      <c r="F26" s="68">
        <f t="shared" si="0"/>
        <v>5220</v>
      </c>
      <c r="G26" s="76"/>
      <c r="H26" s="84"/>
    </row>
    <row r="27" spans="1:15" ht="42" customHeight="1">
      <c r="A27" s="77" t="s">
        <v>428</v>
      </c>
      <c r="B27" s="71">
        <f>128.31+19.8+61</f>
        <v>209.11</v>
      </c>
      <c r="C27" s="71">
        <f>137.75+19.8+61</f>
        <v>218.55</v>
      </c>
      <c r="D27" s="71">
        <v>218.55</v>
      </c>
      <c r="E27" s="71">
        <v>650</v>
      </c>
      <c r="F27" s="72">
        <f t="shared" si="0"/>
        <v>431.45</v>
      </c>
      <c r="G27" s="85" t="s">
        <v>429</v>
      </c>
      <c r="H27" t="s">
        <v>420</v>
      </c>
      <c r="I27">
        <v>518200</v>
      </c>
      <c r="J27" s="476" t="s">
        <v>430</v>
      </c>
      <c r="K27" s="476"/>
    </row>
    <row r="28" spans="1:15" ht="37.5" customHeight="1">
      <c r="A28" s="68" t="s">
        <v>431</v>
      </c>
      <c r="B28" s="68">
        <f>B26+B27</f>
        <v>15291.43</v>
      </c>
      <c r="C28" s="68">
        <f>C26+C27</f>
        <v>19784.18</v>
      </c>
      <c r="D28" s="68">
        <f>D26+D27</f>
        <v>20944.27</v>
      </c>
      <c r="E28" s="68">
        <f>E26+E27</f>
        <v>26595.72</v>
      </c>
      <c r="F28" s="68">
        <f t="shared" si="0"/>
        <v>5651.45</v>
      </c>
      <c r="G28" s="76"/>
    </row>
    <row r="29" spans="1:15">
      <c r="A29" t="s">
        <v>432</v>
      </c>
      <c r="B29" s="65">
        <f>B6</f>
        <v>1591</v>
      </c>
      <c r="C29" s="65">
        <f>C6</f>
        <v>2727</v>
      </c>
      <c r="D29" s="65">
        <v>2323</v>
      </c>
      <c r="E29" s="65">
        <f>E6</f>
        <v>2979</v>
      </c>
    </row>
    <row r="31" spans="1:15">
      <c r="A31" t="s">
        <v>433</v>
      </c>
    </row>
    <row r="32" spans="1:15">
      <c r="B32" s="65">
        <f>B28-B29</f>
        <v>13700.43</v>
      </c>
      <c r="C32" s="65">
        <f>C28-C29</f>
        <v>17057.18</v>
      </c>
      <c r="D32" s="65">
        <f>D28-D29</f>
        <v>18621.27</v>
      </c>
      <c r="E32" s="65">
        <f>E28-E29</f>
        <v>23616.720000000001</v>
      </c>
    </row>
  </sheetData>
  <mergeCells count="10">
    <mergeCell ref="H13:R13"/>
    <mergeCell ref="J21:K21"/>
    <mergeCell ref="L21:O21"/>
    <mergeCell ref="J25:K25"/>
    <mergeCell ref="J27:K27"/>
    <mergeCell ref="A1:G1"/>
    <mergeCell ref="C2:F2"/>
    <mergeCell ref="H5:K5"/>
    <mergeCell ref="H6:K6"/>
    <mergeCell ref="H7:K7"/>
  </mergeCells>
  <phoneticPr fontId="59" type="noConversion"/>
  <printOptions horizontalCentered="1"/>
  <pageMargins left="0.196527777777778" right="0.196527777777778" top="0.196527777777778" bottom="0.196527777777778" header="0.51111111111111096" footer="0.51111111111111096"/>
  <pageSetup paperSize="9" scale="60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143"/>
  <sheetViews>
    <sheetView view="pageBreakPreview" zoomScaleNormal="100" workbookViewId="0">
      <pane xSplit="1" ySplit="6" topLeftCell="H70" activePane="bottomRight" state="frozen"/>
      <selection pane="topRight"/>
      <selection pane="bottomLeft"/>
      <selection pane="bottomRight" activeCell="R79" sqref="R79"/>
    </sheetView>
  </sheetViews>
  <sheetFormatPr defaultColWidth="9" defaultRowHeight="14.25"/>
  <cols>
    <col min="1" max="1" width="18.625" style="5" customWidth="1"/>
    <col min="2" max="2" width="8.875" style="5" customWidth="1"/>
    <col min="3" max="3" width="8.125" style="5" customWidth="1"/>
    <col min="4" max="4" width="11.625" style="5" customWidth="1"/>
    <col min="5" max="5" width="12.75" style="5" customWidth="1"/>
    <col min="6" max="6" width="12.125" style="5" customWidth="1"/>
    <col min="7" max="7" width="11.5" style="5" customWidth="1"/>
    <col min="8" max="8" width="8.5" style="5" customWidth="1"/>
    <col min="9" max="9" width="8.875" style="6" customWidth="1"/>
    <col min="10" max="10" width="11.375" style="6" customWidth="1"/>
    <col min="11" max="11" width="13.125" style="6" customWidth="1"/>
    <col min="12" max="12" width="10.875" style="6" customWidth="1"/>
    <col min="13" max="13" width="12.625" style="6" customWidth="1"/>
    <col min="14" max="15" width="11.625" style="6" customWidth="1"/>
    <col min="16" max="16" width="10.5" style="6" customWidth="1"/>
    <col min="17" max="17" width="11" style="6" customWidth="1"/>
    <col min="18" max="18" width="12.125" style="6" customWidth="1"/>
    <col min="19" max="19" width="10.25" style="6" customWidth="1"/>
    <col min="20" max="20" width="11.5" style="6" customWidth="1"/>
    <col min="21" max="21" width="11.375" style="6" customWidth="1"/>
    <col min="22" max="22" width="9.875" style="6" customWidth="1"/>
    <col min="23" max="23" width="11.125" style="6" customWidth="1"/>
    <col min="24" max="16384" width="9" style="5"/>
  </cols>
  <sheetData>
    <row r="1" spans="1:24" ht="22.5" customHeight="1">
      <c r="A1" s="477" t="s">
        <v>434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7"/>
      <c r="X1" s="31"/>
    </row>
    <row r="2" spans="1:24" ht="16.5" customHeight="1">
      <c r="A2" s="7"/>
      <c r="B2" s="7"/>
      <c r="C2" s="7"/>
      <c r="D2" s="7"/>
      <c r="E2" s="7"/>
      <c r="F2" s="478">
        <v>44171</v>
      </c>
      <c r="G2" s="478"/>
      <c r="H2" s="478"/>
      <c r="I2" s="478"/>
      <c r="J2" s="478"/>
      <c r="K2" s="478"/>
      <c r="L2" s="478"/>
      <c r="M2" s="478"/>
      <c r="N2" s="478"/>
      <c r="O2" s="478"/>
      <c r="P2" s="7"/>
      <c r="Q2" s="7"/>
      <c r="R2" s="7"/>
      <c r="S2" s="7"/>
      <c r="T2" s="7"/>
      <c r="U2" s="7"/>
      <c r="V2" s="7"/>
      <c r="W2" s="7"/>
      <c r="X2" s="31"/>
    </row>
    <row r="3" spans="1:24" ht="21" customHeight="1">
      <c r="A3" s="8" t="s">
        <v>392</v>
      </c>
      <c r="B3" s="479" t="s">
        <v>435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80" t="s">
        <v>436</v>
      </c>
      <c r="O3" s="483" t="s">
        <v>437</v>
      </c>
      <c r="P3" s="484" t="s">
        <v>438</v>
      </c>
      <c r="Q3" s="484" t="s">
        <v>439</v>
      </c>
      <c r="R3" s="487" t="s">
        <v>440</v>
      </c>
      <c r="S3" s="487" t="s">
        <v>441</v>
      </c>
      <c r="T3" s="487" t="s">
        <v>442</v>
      </c>
      <c r="U3" s="487" t="s">
        <v>443</v>
      </c>
      <c r="V3" s="484" t="s">
        <v>444</v>
      </c>
      <c r="W3" s="484" t="s">
        <v>445</v>
      </c>
    </row>
    <row r="4" spans="1:24" ht="18.75" customHeight="1">
      <c r="A4" s="9" t="s">
        <v>446</v>
      </c>
      <c r="B4" s="480" t="s">
        <v>285</v>
      </c>
      <c r="C4" s="480"/>
      <c r="D4" s="480"/>
      <c r="E4" s="480"/>
      <c r="F4" s="480"/>
      <c r="G4" s="480"/>
      <c r="H4" s="480" t="s">
        <v>286</v>
      </c>
      <c r="I4" s="480"/>
      <c r="J4" s="480"/>
      <c r="K4" s="480"/>
      <c r="L4" s="480"/>
      <c r="M4" s="480"/>
      <c r="N4" s="480"/>
      <c r="O4" s="483"/>
      <c r="P4" s="485"/>
      <c r="Q4" s="485"/>
      <c r="R4" s="488"/>
      <c r="S4" s="488"/>
      <c r="T4" s="488"/>
      <c r="U4" s="488"/>
      <c r="V4" s="485"/>
      <c r="W4" s="485"/>
    </row>
    <row r="5" spans="1:24" ht="20.25" customHeight="1">
      <c r="A5" s="9"/>
      <c r="B5" s="11">
        <v>2020</v>
      </c>
      <c r="C5" s="481">
        <v>2021</v>
      </c>
      <c r="D5" s="481"/>
      <c r="E5" s="481"/>
      <c r="F5" s="481"/>
      <c r="G5" s="481"/>
      <c r="H5" s="11">
        <v>2020</v>
      </c>
      <c r="I5" s="481">
        <v>2021</v>
      </c>
      <c r="J5" s="481"/>
      <c r="K5" s="481"/>
      <c r="L5" s="481"/>
      <c r="M5" s="481"/>
      <c r="N5" s="480"/>
      <c r="O5" s="483"/>
      <c r="P5" s="485"/>
      <c r="Q5" s="485"/>
      <c r="R5" s="488"/>
      <c r="S5" s="488"/>
      <c r="T5" s="488"/>
      <c r="U5" s="488"/>
      <c r="V5" s="485"/>
      <c r="W5" s="485"/>
    </row>
    <row r="6" spans="1:24" ht="16.5" customHeight="1">
      <c r="A6" s="13" t="s">
        <v>447</v>
      </c>
      <c r="B6" s="14" t="s">
        <v>282</v>
      </c>
      <c r="C6" s="14" t="s">
        <v>282</v>
      </c>
      <c r="D6" s="14" t="s">
        <v>448</v>
      </c>
      <c r="E6" s="14" t="s">
        <v>449</v>
      </c>
      <c r="F6" s="14" t="s">
        <v>450</v>
      </c>
      <c r="G6" s="14" t="s">
        <v>451</v>
      </c>
      <c r="H6" s="14" t="s">
        <v>282</v>
      </c>
      <c r="I6" s="14" t="s">
        <v>282</v>
      </c>
      <c r="J6" s="14" t="s">
        <v>448</v>
      </c>
      <c r="K6" s="14" t="s">
        <v>449</v>
      </c>
      <c r="L6" s="14" t="s">
        <v>450</v>
      </c>
      <c r="M6" s="14" t="s">
        <v>451</v>
      </c>
      <c r="N6" s="480"/>
      <c r="O6" s="483"/>
      <c r="P6" s="486"/>
      <c r="Q6" s="486"/>
      <c r="R6" s="489"/>
      <c r="S6" s="489"/>
      <c r="T6" s="489"/>
      <c r="U6" s="489"/>
      <c r="V6" s="486"/>
      <c r="W6" s="486"/>
    </row>
    <row r="7" spans="1:24" s="1" customFormat="1" ht="21" customHeight="1">
      <c r="A7" s="15" t="s">
        <v>452</v>
      </c>
      <c r="B7" s="16">
        <v>29</v>
      </c>
      <c r="C7" s="16">
        <v>30</v>
      </c>
      <c r="D7" s="17">
        <v>109478</v>
      </c>
      <c r="E7" s="18">
        <f t="shared" ref="E7:E33" si="0">D7*12</f>
        <v>1313736</v>
      </c>
      <c r="F7" s="18">
        <v>65005</v>
      </c>
      <c r="G7" s="18">
        <f t="shared" ref="G7:G33" si="1">F7*12</f>
        <v>780060</v>
      </c>
      <c r="H7" s="19">
        <v>7</v>
      </c>
      <c r="I7" s="18">
        <v>9</v>
      </c>
      <c r="J7" s="29">
        <v>26721.200000000001</v>
      </c>
      <c r="K7" s="30">
        <f t="shared" ref="K7:K33" si="2">J7*12</f>
        <v>320654.40000000002</v>
      </c>
      <c r="L7" s="29">
        <v>18033</v>
      </c>
      <c r="M7" s="18">
        <f t="shared" ref="M7:M33" si="3">L7*12</f>
        <v>216396</v>
      </c>
      <c r="N7" s="18">
        <f t="shared" ref="N7:N33" si="4">ROUND((E7+G7)*0.16+D7*0.16,0)</f>
        <v>352524</v>
      </c>
      <c r="O7" s="18">
        <f t="shared" ref="O7:O33" si="5">ROUND((E7+G7)*0.08+D7*0.08,0)</f>
        <v>176262</v>
      </c>
      <c r="P7" s="18">
        <f t="shared" ref="P7:P33" si="6">ROUND((E7+K7)*0.05,0)</f>
        <v>81720</v>
      </c>
      <c r="Q7" s="18">
        <f t="shared" ref="Q7:Q33" si="7">ROUND((E7+G7)*0.005,0)</f>
        <v>10469</v>
      </c>
      <c r="R7" s="18">
        <f t="shared" ref="R7:R33" si="8">ROUND((E7+G7)*0.08,0)</f>
        <v>167504</v>
      </c>
      <c r="S7" s="18"/>
      <c r="T7" s="18">
        <f t="shared" ref="T7:T33" si="9">ROUND((E7+G7)*0.01,0)</f>
        <v>20938</v>
      </c>
      <c r="U7" s="18">
        <f t="shared" ref="U7:U33" si="10">ROUND((E7+G7)*0.12,0)</f>
        <v>251256</v>
      </c>
      <c r="V7" s="18">
        <f t="shared" ref="V7:V33" si="11">ROUND((C7+I7)*75,0)</f>
        <v>2925</v>
      </c>
      <c r="W7" s="30">
        <f t="shared" ref="W7:W33" si="12">ROUND((E7+K7)*0.02,0)</f>
        <v>32688</v>
      </c>
      <c r="X7" s="32"/>
    </row>
    <row r="8" spans="1:24" s="1" customFormat="1" ht="21" customHeight="1">
      <c r="A8" s="15" t="s">
        <v>453</v>
      </c>
      <c r="B8" s="16">
        <v>19</v>
      </c>
      <c r="C8" s="16">
        <v>24</v>
      </c>
      <c r="D8" s="17">
        <v>98886</v>
      </c>
      <c r="E8" s="18">
        <f t="shared" si="0"/>
        <v>1186632</v>
      </c>
      <c r="F8" s="18">
        <v>53290</v>
      </c>
      <c r="G8" s="18">
        <f t="shared" si="1"/>
        <v>639480</v>
      </c>
      <c r="H8" s="19">
        <v>11</v>
      </c>
      <c r="I8" s="18">
        <v>11</v>
      </c>
      <c r="J8" s="29">
        <v>31832.48</v>
      </c>
      <c r="K8" s="30">
        <f t="shared" si="2"/>
        <v>381989.76</v>
      </c>
      <c r="L8" s="29">
        <v>21461</v>
      </c>
      <c r="M8" s="18">
        <f t="shared" si="3"/>
        <v>257532</v>
      </c>
      <c r="N8" s="18">
        <f t="shared" si="4"/>
        <v>308000</v>
      </c>
      <c r="O8" s="18">
        <f t="shared" si="5"/>
        <v>154000</v>
      </c>
      <c r="P8" s="18">
        <f t="shared" si="6"/>
        <v>78431</v>
      </c>
      <c r="Q8" s="18">
        <f t="shared" si="7"/>
        <v>9131</v>
      </c>
      <c r="R8" s="18">
        <f t="shared" si="8"/>
        <v>146089</v>
      </c>
      <c r="S8" s="18"/>
      <c r="T8" s="18">
        <f t="shared" si="9"/>
        <v>18261</v>
      </c>
      <c r="U8" s="18">
        <f t="shared" si="10"/>
        <v>219133</v>
      </c>
      <c r="V8" s="18">
        <f t="shared" si="11"/>
        <v>2625</v>
      </c>
      <c r="W8" s="30">
        <f t="shared" si="12"/>
        <v>31372</v>
      </c>
    </row>
    <row r="9" spans="1:24" s="1" customFormat="1" ht="21" customHeight="1">
      <c r="A9" s="15" t="s">
        <v>454</v>
      </c>
      <c r="B9" s="16">
        <v>35</v>
      </c>
      <c r="C9" s="16">
        <v>35</v>
      </c>
      <c r="D9" s="17">
        <v>129146</v>
      </c>
      <c r="E9" s="18">
        <f t="shared" si="0"/>
        <v>1549752</v>
      </c>
      <c r="F9" s="18">
        <v>75400</v>
      </c>
      <c r="G9" s="18">
        <f t="shared" si="1"/>
        <v>904800</v>
      </c>
      <c r="H9" s="19">
        <v>17</v>
      </c>
      <c r="I9" s="18">
        <v>18</v>
      </c>
      <c r="J9" s="29">
        <v>42195.519999999997</v>
      </c>
      <c r="K9" s="30">
        <f t="shared" si="2"/>
        <v>506346.23999999999</v>
      </c>
      <c r="L9" s="29">
        <v>32254</v>
      </c>
      <c r="M9" s="18">
        <f t="shared" si="3"/>
        <v>387048</v>
      </c>
      <c r="N9" s="18">
        <f t="shared" si="4"/>
        <v>413392</v>
      </c>
      <c r="O9" s="18">
        <f t="shared" si="5"/>
        <v>206696</v>
      </c>
      <c r="P9" s="18">
        <f t="shared" si="6"/>
        <v>102805</v>
      </c>
      <c r="Q9" s="18">
        <f t="shared" si="7"/>
        <v>12273</v>
      </c>
      <c r="R9" s="18">
        <f t="shared" si="8"/>
        <v>196364</v>
      </c>
      <c r="S9" s="18"/>
      <c r="T9" s="18">
        <f t="shared" si="9"/>
        <v>24546</v>
      </c>
      <c r="U9" s="18">
        <f t="shared" si="10"/>
        <v>294546</v>
      </c>
      <c r="V9" s="18">
        <f t="shared" si="11"/>
        <v>3975</v>
      </c>
      <c r="W9" s="30">
        <f t="shared" si="12"/>
        <v>41122</v>
      </c>
    </row>
    <row r="10" spans="1:24" s="1" customFormat="1" ht="21" customHeight="1">
      <c r="A10" s="15" t="s">
        <v>455</v>
      </c>
      <c r="B10" s="16">
        <v>19</v>
      </c>
      <c r="C10" s="16">
        <v>20</v>
      </c>
      <c r="D10" s="17">
        <v>82005</v>
      </c>
      <c r="E10" s="18">
        <f t="shared" si="0"/>
        <v>984060</v>
      </c>
      <c r="F10" s="18">
        <v>44145</v>
      </c>
      <c r="G10" s="18">
        <f t="shared" si="1"/>
        <v>529740</v>
      </c>
      <c r="H10" s="19">
        <v>11</v>
      </c>
      <c r="I10" s="18">
        <v>11</v>
      </c>
      <c r="J10" s="29">
        <v>30299.72</v>
      </c>
      <c r="K10" s="30">
        <f t="shared" si="2"/>
        <v>363596.64</v>
      </c>
      <c r="L10" s="29">
        <v>21670</v>
      </c>
      <c r="M10" s="18">
        <f t="shared" si="3"/>
        <v>260040</v>
      </c>
      <c r="N10" s="18">
        <f t="shared" si="4"/>
        <v>255329</v>
      </c>
      <c r="O10" s="18">
        <f t="shared" si="5"/>
        <v>127664</v>
      </c>
      <c r="P10" s="18">
        <f t="shared" si="6"/>
        <v>67383</v>
      </c>
      <c r="Q10" s="18">
        <f t="shared" si="7"/>
        <v>7569</v>
      </c>
      <c r="R10" s="18">
        <f t="shared" si="8"/>
        <v>121104</v>
      </c>
      <c r="S10" s="18"/>
      <c r="T10" s="18">
        <f t="shared" si="9"/>
        <v>15138</v>
      </c>
      <c r="U10" s="18">
        <f t="shared" si="10"/>
        <v>181656</v>
      </c>
      <c r="V10" s="18">
        <f t="shared" si="11"/>
        <v>2325</v>
      </c>
      <c r="W10" s="30">
        <f t="shared" si="12"/>
        <v>26953</v>
      </c>
    </row>
    <row r="11" spans="1:24" s="1" customFormat="1" ht="21" customHeight="1">
      <c r="A11" s="15" t="s">
        <v>456</v>
      </c>
      <c r="B11" s="16">
        <v>54</v>
      </c>
      <c r="C11" s="16">
        <v>48</v>
      </c>
      <c r="D11" s="17">
        <v>167438</v>
      </c>
      <c r="E11" s="18">
        <f t="shared" si="0"/>
        <v>2009256</v>
      </c>
      <c r="F11" s="18">
        <v>96350</v>
      </c>
      <c r="G11" s="18">
        <f t="shared" si="1"/>
        <v>1156200</v>
      </c>
      <c r="H11" s="19">
        <v>4</v>
      </c>
      <c r="I11" s="18">
        <v>4</v>
      </c>
      <c r="J11" s="29">
        <v>10642.63</v>
      </c>
      <c r="K11" s="30">
        <f t="shared" si="2"/>
        <v>127711.56</v>
      </c>
      <c r="L11" s="29">
        <v>7804</v>
      </c>
      <c r="M11" s="18">
        <f t="shared" si="3"/>
        <v>93648</v>
      </c>
      <c r="N11" s="18">
        <f t="shared" si="4"/>
        <v>533263</v>
      </c>
      <c r="O11" s="18">
        <f t="shared" si="5"/>
        <v>266632</v>
      </c>
      <c r="P11" s="18">
        <f t="shared" si="6"/>
        <v>106848</v>
      </c>
      <c r="Q11" s="18">
        <f t="shared" si="7"/>
        <v>15827</v>
      </c>
      <c r="R11" s="18">
        <f t="shared" si="8"/>
        <v>253236</v>
      </c>
      <c r="S11" s="18"/>
      <c r="T11" s="18">
        <f t="shared" si="9"/>
        <v>31655</v>
      </c>
      <c r="U11" s="18">
        <f t="shared" si="10"/>
        <v>379855</v>
      </c>
      <c r="V11" s="18">
        <f t="shared" si="11"/>
        <v>3900</v>
      </c>
      <c r="W11" s="30">
        <f t="shared" si="12"/>
        <v>42739</v>
      </c>
    </row>
    <row r="12" spans="1:24" s="1" customFormat="1" ht="21" customHeight="1">
      <c r="A12" s="15" t="s">
        <v>457</v>
      </c>
      <c r="B12" s="16">
        <v>16</v>
      </c>
      <c r="C12" s="16">
        <v>15</v>
      </c>
      <c r="D12" s="17">
        <v>48901</v>
      </c>
      <c r="E12" s="18">
        <f t="shared" si="0"/>
        <v>586812</v>
      </c>
      <c r="F12" s="18">
        <v>30795</v>
      </c>
      <c r="G12" s="18">
        <f t="shared" si="1"/>
        <v>369540</v>
      </c>
      <c r="H12" s="19">
        <v>62</v>
      </c>
      <c r="I12" s="18">
        <v>60</v>
      </c>
      <c r="J12" s="29">
        <v>197428.05</v>
      </c>
      <c r="K12" s="30">
        <f t="shared" si="2"/>
        <v>2369136.6</v>
      </c>
      <c r="L12" s="29">
        <v>132766</v>
      </c>
      <c r="M12" s="18">
        <f t="shared" si="3"/>
        <v>1593192</v>
      </c>
      <c r="N12" s="18">
        <f t="shared" si="4"/>
        <v>160840</v>
      </c>
      <c r="O12" s="18">
        <f t="shared" si="5"/>
        <v>80420</v>
      </c>
      <c r="P12" s="18">
        <f t="shared" si="6"/>
        <v>147797</v>
      </c>
      <c r="Q12" s="18">
        <f t="shared" si="7"/>
        <v>4782</v>
      </c>
      <c r="R12" s="18">
        <f t="shared" si="8"/>
        <v>76508</v>
      </c>
      <c r="S12" s="18"/>
      <c r="T12" s="18">
        <f t="shared" si="9"/>
        <v>9564</v>
      </c>
      <c r="U12" s="18">
        <f t="shared" si="10"/>
        <v>114762</v>
      </c>
      <c r="V12" s="18">
        <f t="shared" si="11"/>
        <v>5625</v>
      </c>
      <c r="W12" s="30">
        <f t="shared" si="12"/>
        <v>59119</v>
      </c>
    </row>
    <row r="13" spans="1:24" s="1" customFormat="1" ht="21" customHeight="1">
      <c r="A13" s="15" t="s">
        <v>458</v>
      </c>
      <c r="B13" s="16">
        <v>11</v>
      </c>
      <c r="C13" s="16">
        <v>12</v>
      </c>
      <c r="D13" s="17">
        <v>42019</v>
      </c>
      <c r="E13" s="18">
        <f t="shared" si="0"/>
        <v>504228</v>
      </c>
      <c r="F13" s="18">
        <v>25240</v>
      </c>
      <c r="G13" s="18">
        <f t="shared" si="1"/>
        <v>302880</v>
      </c>
      <c r="H13" s="19">
        <v>2</v>
      </c>
      <c r="I13" s="18">
        <v>2</v>
      </c>
      <c r="J13" s="29">
        <v>5360.51</v>
      </c>
      <c r="K13" s="30">
        <f t="shared" si="2"/>
        <v>64326.12</v>
      </c>
      <c r="L13" s="29">
        <v>3654</v>
      </c>
      <c r="M13" s="18">
        <f t="shared" si="3"/>
        <v>43848</v>
      </c>
      <c r="N13" s="18">
        <f t="shared" si="4"/>
        <v>135860</v>
      </c>
      <c r="O13" s="18">
        <f t="shared" si="5"/>
        <v>67930</v>
      </c>
      <c r="P13" s="18">
        <f t="shared" si="6"/>
        <v>28428</v>
      </c>
      <c r="Q13" s="18">
        <f t="shared" si="7"/>
        <v>4036</v>
      </c>
      <c r="R13" s="18">
        <f t="shared" si="8"/>
        <v>64569</v>
      </c>
      <c r="S13" s="18"/>
      <c r="T13" s="18">
        <f t="shared" si="9"/>
        <v>8071</v>
      </c>
      <c r="U13" s="18">
        <f t="shared" si="10"/>
        <v>96853</v>
      </c>
      <c r="V13" s="18">
        <f t="shared" si="11"/>
        <v>1050</v>
      </c>
      <c r="W13" s="30">
        <f t="shared" si="12"/>
        <v>11371</v>
      </c>
    </row>
    <row r="14" spans="1:24" s="1" customFormat="1" ht="21" customHeight="1">
      <c r="A14" s="15" t="s">
        <v>459</v>
      </c>
      <c r="B14" s="16">
        <v>7</v>
      </c>
      <c r="C14" s="16">
        <v>7</v>
      </c>
      <c r="D14" s="17">
        <v>28433</v>
      </c>
      <c r="E14" s="18">
        <f t="shared" si="0"/>
        <v>341196</v>
      </c>
      <c r="F14" s="18">
        <v>15555</v>
      </c>
      <c r="G14" s="18">
        <f t="shared" si="1"/>
        <v>186660</v>
      </c>
      <c r="H14" s="19">
        <v>3</v>
      </c>
      <c r="I14" s="18">
        <v>3</v>
      </c>
      <c r="J14" s="29">
        <v>8090.63</v>
      </c>
      <c r="K14" s="30">
        <f t="shared" si="2"/>
        <v>97087.56</v>
      </c>
      <c r="L14" s="29">
        <v>6062</v>
      </c>
      <c r="M14" s="18">
        <f t="shared" si="3"/>
        <v>72744</v>
      </c>
      <c r="N14" s="18">
        <f t="shared" si="4"/>
        <v>89006</v>
      </c>
      <c r="O14" s="18">
        <f t="shared" si="5"/>
        <v>44503</v>
      </c>
      <c r="P14" s="18">
        <f t="shared" si="6"/>
        <v>21914</v>
      </c>
      <c r="Q14" s="18">
        <f t="shared" si="7"/>
        <v>2639</v>
      </c>
      <c r="R14" s="18">
        <f t="shared" si="8"/>
        <v>42228</v>
      </c>
      <c r="S14" s="18"/>
      <c r="T14" s="18">
        <f t="shared" si="9"/>
        <v>5279</v>
      </c>
      <c r="U14" s="18">
        <f t="shared" si="10"/>
        <v>63343</v>
      </c>
      <c r="V14" s="18">
        <f t="shared" si="11"/>
        <v>750</v>
      </c>
      <c r="W14" s="30">
        <f t="shared" si="12"/>
        <v>8766</v>
      </c>
    </row>
    <row r="15" spans="1:24" s="1" customFormat="1" ht="21" customHeight="1">
      <c r="A15" s="15" t="s">
        <v>460</v>
      </c>
      <c r="B15" s="16">
        <v>13</v>
      </c>
      <c r="C15" s="16">
        <v>13</v>
      </c>
      <c r="D15" s="17">
        <v>48041</v>
      </c>
      <c r="E15" s="18">
        <f t="shared" si="0"/>
        <v>576492</v>
      </c>
      <c r="F15" s="18">
        <v>27880</v>
      </c>
      <c r="G15" s="18">
        <f t="shared" si="1"/>
        <v>334560</v>
      </c>
      <c r="H15" s="19">
        <v>5</v>
      </c>
      <c r="I15" s="18">
        <v>5</v>
      </c>
      <c r="J15" s="29">
        <v>13964.13</v>
      </c>
      <c r="K15" s="30">
        <f t="shared" si="2"/>
        <v>167569.56</v>
      </c>
      <c r="L15" s="29">
        <v>9755</v>
      </c>
      <c r="M15" s="18">
        <f t="shared" si="3"/>
        <v>117060</v>
      </c>
      <c r="N15" s="18">
        <f t="shared" si="4"/>
        <v>153455</v>
      </c>
      <c r="O15" s="18">
        <f t="shared" si="5"/>
        <v>76727</v>
      </c>
      <c r="P15" s="18">
        <f t="shared" si="6"/>
        <v>37203</v>
      </c>
      <c r="Q15" s="18">
        <f t="shared" si="7"/>
        <v>4555</v>
      </c>
      <c r="R15" s="18">
        <f t="shared" si="8"/>
        <v>72884</v>
      </c>
      <c r="S15" s="18"/>
      <c r="T15" s="18">
        <f t="shared" si="9"/>
        <v>9111</v>
      </c>
      <c r="U15" s="18">
        <f t="shared" si="10"/>
        <v>109326</v>
      </c>
      <c r="V15" s="18">
        <f t="shared" si="11"/>
        <v>1350</v>
      </c>
      <c r="W15" s="30">
        <f t="shared" si="12"/>
        <v>14881</v>
      </c>
    </row>
    <row r="16" spans="1:24" s="1" customFormat="1" ht="21" customHeight="1">
      <c r="A16" s="15" t="s">
        <v>461</v>
      </c>
      <c r="B16" s="16">
        <v>8</v>
      </c>
      <c r="C16" s="16">
        <v>8</v>
      </c>
      <c r="D16" s="17">
        <v>28098</v>
      </c>
      <c r="E16" s="18">
        <f t="shared" si="0"/>
        <v>337176</v>
      </c>
      <c r="F16" s="18">
        <v>15970</v>
      </c>
      <c r="G16" s="18">
        <f t="shared" si="1"/>
        <v>191640</v>
      </c>
      <c r="H16" s="19">
        <v>1</v>
      </c>
      <c r="I16" s="18">
        <v>1</v>
      </c>
      <c r="J16" s="29">
        <v>1574.07</v>
      </c>
      <c r="K16" s="30">
        <f t="shared" si="2"/>
        <v>18888.84</v>
      </c>
      <c r="L16" s="29">
        <v>1636</v>
      </c>
      <c r="M16" s="18">
        <f t="shared" si="3"/>
        <v>19632</v>
      </c>
      <c r="N16" s="18">
        <f t="shared" si="4"/>
        <v>89106</v>
      </c>
      <c r="O16" s="18">
        <f t="shared" si="5"/>
        <v>44553</v>
      </c>
      <c r="P16" s="18">
        <f t="shared" si="6"/>
        <v>17803</v>
      </c>
      <c r="Q16" s="18">
        <f t="shared" si="7"/>
        <v>2644</v>
      </c>
      <c r="R16" s="18">
        <f t="shared" si="8"/>
        <v>42305</v>
      </c>
      <c r="S16" s="18"/>
      <c r="T16" s="18">
        <f t="shared" si="9"/>
        <v>5288</v>
      </c>
      <c r="U16" s="18">
        <f t="shared" si="10"/>
        <v>63458</v>
      </c>
      <c r="V16" s="18">
        <f t="shared" si="11"/>
        <v>675</v>
      </c>
      <c r="W16" s="30">
        <f t="shared" si="12"/>
        <v>7121</v>
      </c>
    </row>
    <row r="17" spans="1:23" s="1" customFormat="1" ht="21" customHeight="1">
      <c r="A17" s="15" t="s">
        <v>462</v>
      </c>
      <c r="B17" s="16">
        <v>19</v>
      </c>
      <c r="C17" s="16">
        <v>16</v>
      </c>
      <c r="D17" s="17">
        <v>55933</v>
      </c>
      <c r="E17" s="18">
        <f t="shared" si="0"/>
        <v>671196</v>
      </c>
      <c r="F17" s="18">
        <v>33180</v>
      </c>
      <c r="G17" s="18">
        <f t="shared" si="1"/>
        <v>398160</v>
      </c>
      <c r="H17" s="19">
        <v>41</v>
      </c>
      <c r="I17" s="29">
        <v>43</v>
      </c>
      <c r="J17" s="29">
        <v>113613.02</v>
      </c>
      <c r="K17" s="30">
        <f t="shared" si="2"/>
        <v>1363356.24</v>
      </c>
      <c r="L17" s="29">
        <v>78049</v>
      </c>
      <c r="M17" s="18">
        <f t="shared" si="3"/>
        <v>936588</v>
      </c>
      <c r="N17" s="18">
        <f t="shared" si="4"/>
        <v>180046</v>
      </c>
      <c r="O17" s="18">
        <f t="shared" si="5"/>
        <v>90023</v>
      </c>
      <c r="P17" s="18">
        <f t="shared" si="6"/>
        <v>101728</v>
      </c>
      <c r="Q17" s="18">
        <f t="shared" si="7"/>
        <v>5347</v>
      </c>
      <c r="R17" s="18">
        <f t="shared" si="8"/>
        <v>85548</v>
      </c>
      <c r="S17" s="18"/>
      <c r="T17" s="18">
        <f t="shared" si="9"/>
        <v>10694</v>
      </c>
      <c r="U17" s="18">
        <f t="shared" si="10"/>
        <v>128323</v>
      </c>
      <c r="V17" s="18">
        <f t="shared" si="11"/>
        <v>4425</v>
      </c>
      <c r="W17" s="30">
        <f t="shared" si="12"/>
        <v>40691</v>
      </c>
    </row>
    <row r="18" spans="1:23" s="1" customFormat="1" ht="21" customHeight="1">
      <c r="A18" s="15" t="s">
        <v>463</v>
      </c>
      <c r="B18" s="16">
        <v>26</v>
      </c>
      <c r="C18" s="16">
        <v>25</v>
      </c>
      <c r="D18" s="17">
        <v>86569</v>
      </c>
      <c r="E18" s="18">
        <f t="shared" si="0"/>
        <v>1038828</v>
      </c>
      <c r="F18" s="18">
        <v>50845</v>
      </c>
      <c r="G18" s="18">
        <f t="shared" si="1"/>
        <v>610140</v>
      </c>
      <c r="H18" s="19">
        <v>12</v>
      </c>
      <c r="I18" s="29">
        <v>13</v>
      </c>
      <c r="J18" s="29">
        <v>34280.26</v>
      </c>
      <c r="K18" s="30">
        <f t="shared" si="2"/>
        <v>411363.12</v>
      </c>
      <c r="L18" s="29">
        <v>24425</v>
      </c>
      <c r="M18" s="18">
        <f t="shared" si="3"/>
        <v>293100</v>
      </c>
      <c r="N18" s="18">
        <f t="shared" si="4"/>
        <v>277686</v>
      </c>
      <c r="O18" s="18">
        <f t="shared" si="5"/>
        <v>138843</v>
      </c>
      <c r="P18" s="18">
        <f t="shared" si="6"/>
        <v>72510</v>
      </c>
      <c r="Q18" s="18">
        <f t="shared" si="7"/>
        <v>8245</v>
      </c>
      <c r="R18" s="18">
        <f t="shared" si="8"/>
        <v>131917</v>
      </c>
      <c r="S18" s="18"/>
      <c r="T18" s="18">
        <f t="shared" si="9"/>
        <v>16490</v>
      </c>
      <c r="U18" s="18">
        <f t="shared" si="10"/>
        <v>197876</v>
      </c>
      <c r="V18" s="18">
        <f t="shared" si="11"/>
        <v>2850</v>
      </c>
      <c r="W18" s="30">
        <f t="shared" si="12"/>
        <v>29004</v>
      </c>
    </row>
    <row r="19" spans="1:23" ht="21" customHeight="1">
      <c r="A19" s="15" t="s">
        <v>464</v>
      </c>
      <c r="B19" s="16">
        <v>11</v>
      </c>
      <c r="C19" s="16">
        <v>9</v>
      </c>
      <c r="D19" s="17">
        <v>31205</v>
      </c>
      <c r="E19" s="18">
        <f t="shared" si="0"/>
        <v>374460</v>
      </c>
      <c r="F19" s="18">
        <v>18675</v>
      </c>
      <c r="G19" s="18">
        <f t="shared" si="1"/>
        <v>224100</v>
      </c>
      <c r="H19" s="19">
        <v>5</v>
      </c>
      <c r="I19" s="29">
        <v>6</v>
      </c>
      <c r="J19" s="29">
        <v>15511.11</v>
      </c>
      <c r="K19" s="30">
        <f t="shared" si="2"/>
        <v>186133.32</v>
      </c>
      <c r="L19" s="29">
        <v>11525</v>
      </c>
      <c r="M19" s="18">
        <f t="shared" si="3"/>
        <v>138300</v>
      </c>
      <c r="N19" s="18">
        <f t="shared" si="4"/>
        <v>100762</v>
      </c>
      <c r="O19" s="18">
        <f t="shared" si="5"/>
        <v>50381</v>
      </c>
      <c r="P19" s="18">
        <f t="shared" si="6"/>
        <v>28030</v>
      </c>
      <c r="Q19" s="18">
        <f t="shared" si="7"/>
        <v>2993</v>
      </c>
      <c r="R19" s="18">
        <f t="shared" si="8"/>
        <v>47885</v>
      </c>
      <c r="S19" s="18"/>
      <c r="T19" s="18">
        <f t="shared" si="9"/>
        <v>5986</v>
      </c>
      <c r="U19" s="18">
        <f t="shared" si="10"/>
        <v>71827</v>
      </c>
      <c r="V19" s="18">
        <f t="shared" si="11"/>
        <v>1125</v>
      </c>
      <c r="W19" s="30">
        <f t="shared" si="12"/>
        <v>11212</v>
      </c>
    </row>
    <row r="20" spans="1:23" ht="21" customHeight="1">
      <c r="A20" s="15" t="s">
        <v>465</v>
      </c>
      <c r="B20" s="16">
        <v>30</v>
      </c>
      <c r="C20" s="16">
        <v>30</v>
      </c>
      <c r="D20" s="17">
        <v>89922</v>
      </c>
      <c r="E20" s="18">
        <f t="shared" si="0"/>
        <v>1079064</v>
      </c>
      <c r="F20" s="18">
        <v>59470</v>
      </c>
      <c r="G20" s="18">
        <f t="shared" si="1"/>
        <v>713640</v>
      </c>
      <c r="H20" s="19">
        <v>9</v>
      </c>
      <c r="I20" s="29">
        <v>9</v>
      </c>
      <c r="J20" s="29">
        <v>25883.27</v>
      </c>
      <c r="K20" s="30">
        <f t="shared" si="2"/>
        <v>310599.24</v>
      </c>
      <c r="L20" s="29">
        <v>17016</v>
      </c>
      <c r="M20" s="18">
        <f t="shared" si="3"/>
        <v>204192</v>
      </c>
      <c r="N20" s="18">
        <f t="shared" si="4"/>
        <v>301220</v>
      </c>
      <c r="O20" s="18">
        <f t="shared" si="5"/>
        <v>150610</v>
      </c>
      <c r="P20" s="18">
        <f t="shared" si="6"/>
        <v>69483</v>
      </c>
      <c r="Q20" s="18">
        <f t="shared" si="7"/>
        <v>8964</v>
      </c>
      <c r="R20" s="18">
        <f t="shared" si="8"/>
        <v>143416</v>
      </c>
      <c r="S20" s="18"/>
      <c r="T20" s="18">
        <f t="shared" si="9"/>
        <v>17927</v>
      </c>
      <c r="U20" s="18">
        <f t="shared" si="10"/>
        <v>215124</v>
      </c>
      <c r="V20" s="18">
        <f t="shared" si="11"/>
        <v>2925</v>
      </c>
      <c r="W20" s="30">
        <f t="shared" si="12"/>
        <v>27793</v>
      </c>
    </row>
    <row r="21" spans="1:23" ht="21" customHeight="1">
      <c r="A21" s="15" t="s">
        <v>466</v>
      </c>
      <c r="B21" s="16">
        <v>3</v>
      </c>
      <c r="C21" s="16">
        <v>4</v>
      </c>
      <c r="D21" s="17">
        <v>13320</v>
      </c>
      <c r="E21" s="18">
        <f t="shared" si="0"/>
        <v>159840</v>
      </c>
      <c r="F21" s="18">
        <v>8560</v>
      </c>
      <c r="G21" s="18">
        <f t="shared" si="1"/>
        <v>102720</v>
      </c>
      <c r="H21" s="19"/>
      <c r="I21" s="29">
        <v>0</v>
      </c>
      <c r="J21" s="29">
        <v>0</v>
      </c>
      <c r="K21" s="30">
        <f t="shared" si="2"/>
        <v>0</v>
      </c>
      <c r="L21" s="29">
        <v>0</v>
      </c>
      <c r="M21" s="18">
        <f t="shared" si="3"/>
        <v>0</v>
      </c>
      <c r="N21" s="18">
        <f t="shared" si="4"/>
        <v>44141</v>
      </c>
      <c r="O21" s="18">
        <f t="shared" si="5"/>
        <v>22070</v>
      </c>
      <c r="P21" s="18">
        <f t="shared" si="6"/>
        <v>7992</v>
      </c>
      <c r="Q21" s="18">
        <f t="shared" si="7"/>
        <v>1313</v>
      </c>
      <c r="R21" s="18">
        <f t="shared" si="8"/>
        <v>21005</v>
      </c>
      <c r="S21" s="18"/>
      <c r="T21" s="18">
        <f t="shared" si="9"/>
        <v>2626</v>
      </c>
      <c r="U21" s="18">
        <f t="shared" si="10"/>
        <v>31507</v>
      </c>
      <c r="V21" s="18">
        <f t="shared" si="11"/>
        <v>300</v>
      </c>
      <c r="W21" s="30">
        <f t="shared" si="12"/>
        <v>3197</v>
      </c>
    </row>
    <row r="22" spans="1:23" ht="21" customHeight="1">
      <c r="A22" s="15" t="s">
        <v>467</v>
      </c>
      <c r="B22" s="16">
        <v>1</v>
      </c>
      <c r="C22" s="16">
        <v>1</v>
      </c>
      <c r="D22" s="17">
        <v>3583</v>
      </c>
      <c r="E22" s="18">
        <f t="shared" si="0"/>
        <v>42996</v>
      </c>
      <c r="F22" s="18">
        <v>2140</v>
      </c>
      <c r="G22" s="18">
        <f t="shared" si="1"/>
        <v>25680</v>
      </c>
      <c r="H22" s="19">
        <v>3</v>
      </c>
      <c r="I22" s="29">
        <v>3</v>
      </c>
      <c r="J22" s="29">
        <v>8580.25</v>
      </c>
      <c r="K22" s="30">
        <f t="shared" si="2"/>
        <v>102963</v>
      </c>
      <c r="L22" s="29">
        <v>5853</v>
      </c>
      <c r="M22" s="18">
        <f t="shared" si="3"/>
        <v>70236</v>
      </c>
      <c r="N22" s="18">
        <f t="shared" si="4"/>
        <v>11561</v>
      </c>
      <c r="O22" s="18">
        <f t="shared" si="5"/>
        <v>5781</v>
      </c>
      <c r="P22" s="18">
        <f t="shared" si="6"/>
        <v>7298</v>
      </c>
      <c r="Q22" s="18">
        <f t="shared" si="7"/>
        <v>343</v>
      </c>
      <c r="R22" s="18">
        <f t="shared" si="8"/>
        <v>5494</v>
      </c>
      <c r="S22" s="18"/>
      <c r="T22" s="18">
        <f t="shared" si="9"/>
        <v>687</v>
      </c>
      <c r="U22" s="18">
        <f t="shared" si="10"/>
        <v>8241</v>
      </c>
      <c r="V22" s="18">
        <f t="shared" si="11"/>
        <v>300</v>
      </c>
      <c r="W22" s="30">
        <f t="shared" si="12"/>
        <v>2919</v>
      </c>
    </row>
    <row r="23" spans="1:23" ht="21" customHeight="1">
      <c r="A23" s="15" t="s">
        <v>468</v>
      </c>
      <c r="B23" s="16">
        <v>1</v>
      </c>
      <c r="C23" s="16">
        <f>2+2</f>
        <v>4</v>
      </c>
      <c r="D23" s="17">
        <f>6292+2324*2</f>
        <v>10940</v>
      </c>
      <c r="E23" s="18">
        <f t="shared" si="0"/>
        <v>131280</v>
      </c>
      <c r="F23" s="18">
        <f>4100+1845*2</f>
        <v>7790</v>
      </c>
      <c r="G23" s="18">
        <f t="shared" si="1"/>
        <v>93480</v>
      </c>
      <c r="H23" s="19">
        <v>1</v>
      </c>
      <c r="I23" s="29">
        <v>1</v>
      </c>
      <c r="J23" s="29">
        <v>2552.21</v>
      </c>
      <c r="K23" s="30">
        <f t="shared" si="2"/>
        <v>30626.52</v>
      </c>
      <c r="L23" s="29">
        <v>1951</v>
      </c>
      <c r="M23" s="18">
        <f t="shared" si="3"/>
        <v>23412</v>
      </c>
      <c r="N23" s="18">
        <f t="shared" si="4"/>
        <v>37712</v>
      </c>
      <c r="O23" s="18">
        <f t="shared" si="5"/>
        <v>18856</v>
      </c>
      <c r="P23" s="18">
        <f t="shared" si="6"/>
        <v>8095</v>
      </c>
      <c r="Q23" s="18">
        <f t="shared" si="7"/>
        <v>1124</v>
      </c>
      <c r="R23" s="18">
        <f t="shared" si="8"/>
        <v>17981</v>
      </c>
      <c r="S23" s="18"/>
      <c r="T23" s="18">
        <f t="shared" si="9"/>
        <v>2248</v>
      </c>
      <c r="U23" s="18">
        <f t="shared" si="10"/>
        <v>26971</v>
      </c>
      <c r="V23" s="18">
        <f t="shared" si="11"/>
        <v>375</v>
      </c>
      <c r="W23" s="30">
        <f t="shared" si="12"/>
        <v>3238</v>
      </c>
    </row>
    <row r="24" spans="1:23" ht="21" customHeight="1">
      <c r="A24" s="15" t="s">
        <v>469</v>
      </c>
      <c r="B24" s="16">
        <v>5</v>
      </c>
      <c r="C24" s="16">
        <v>5</v>
      </c>
      <c r="D24" s="17">
        <v>20260</v>
      </c>
      <c r="E24" s="18">
        <f t="shared" si="0"/>
        <v>243120</v>
      </c>
      <c r="F24" s="18">
        <v>10730</v>
      </c>
      <c r="G24" s="18">
        <f t="shared" si="1"/>
        <v>128760</v>
      </c>
      <c r="H24" s="19">
        <v>3</v>
      </c>
      <c r="I24" s="29">
        <v>3</v>
      </c>
      <c r="J24" s="29">
        <v>8124.52</v>
      </c>
      <c r="K24" s="30">
        <f t="shared" si="2"/>
        <v>97494.24</v>
      </c>
      <c r="L24" s="29">
        <v>5853</v>
      </c>
      <c r="M24" s="18">
        <f t="shared" si="3"/>
        <v>70236</v>
      </c>
      <c r="N24" s="18">
        <f t="shared" si="4"/>
        <v>62742</v>
      </c>
      <c r="O24" s="18">
        <f t="shared" si="5"/>
        <v>31371</v>
      </c>
      <c r="P24" s="18">
        <f t="shared" si="6"/>
        <v>17031</v>
      </c>
      <c r="Q24" s="18">
        <f t="shared" si="7"/>
        <v>1859</v>
      </c>
      <c r="R24" s="18">
        <f t="shared" si="8"/>
        <v>29750</v>
      </c>
      <c r="S24" s="18"/>
      <c r="T24" s="18">
        <f t="shared" si="9"/>
        <v>3719</v>
      </c>
      <c r="U24" s="18">
        <f t="shared" si="10"/>
        <v>44626</v>
      </c>
      <c r="V24" s="18">
        <f t="shared" si="11"/>
        <v>600</v>
      </c>
      <c r="W24" s="30">
        <f t="shared" si="12"/>
        <v>6812</v>
      </c>
    </row>
    <row r="25" spans="1:23" ht="21" customHeight="1">
      <c r="A25" s="15" t="s">
        <v>470</v>
      </c>
      <c r="B25" s="16">
        <v>3</v>
      </c>
      <c r="C25" s="16">
        <v>3</v>
      </c>
      <c r="D25" s="17">
        <v>9692</v>
      </c>
      <c r="E25" s="18">
        <f t="shared" si="0"/>
        <v>116304</v>
      </c>
      <c r="F25" s="18">
        <v>6060</v>
      </c>
      <c r="G25" s="18">
        <f t="shared" si="1"/>
        <v>72720</v>
      </c>
      <c r="H25" s="19">
        <v>5</v>
      </c>
      <c r="I25" s="29">
        <v>5</v>
      </c>
      <c r="J25" s="29">
        <v>13830.05</v>
      </c>
      <c r="K25" s="30">
        <f t="shared" si="2"/>
        <v>165960.6</v>
      </c>
      <c r="L25" s="29">
        <v>9574</v>
      </c>
      <c r="M25" s="18">
        <f t="shared" si="3"/>
        <v>114888</v>
      </c>
      <c r="N25" s="18">
        <f t="shared" si="4"/>
        <v>31795</v>
      </c>
      <c r="O25" s="18">
        <f t="shared" si="5"/>
        <v>15897</v>
      </c>
      <c r="P25" s="18">
        <f t="shared" si="6"/>
        <v>14113</v>
      </c>
      <c r="Q25" s="18">
        <f t="shared" si="7"/>
        <v>945</v>
      </c>
      <c r="R25" s="18">
        <f t="shared" si="8"/>
        <v>15122</v>
      </c>
      <c r="S25" s="18"/>
      <c r="T25" s="18">
        <f t="shared" si="9"/>
        <v>1890</v>
      </c>
      <c r="U25" s="18">
        <f t="shared" si="10"/>
        <v>22683</v>
      </c>
      <c r="V25" s="18">
        <f t="shared" si="11"/>
        <v>600</v>
      </c>
      <c r="W25" s="30">
        <f t="shared" si="12"/>
        <v>5645</v>
      </c>
    </row>
    <row r="26" spans="1:23" ht="21" customHeight="1">
      <c r="A26" s="15" t="s">
        <v>471</v>
      </c>
      <c r="B26" s="16">
        <v>6</v>
      </c>
      <c r="C26" s="16">
        <v>7</v>
      </c>
      <c r="D26" s="17">
        <v>21967</v>
      </c>
      <c r="E26" s="18">
        <f t="shared" si="0"/>
        <v>263604</v>
      </c>
      <c r="F26" s="18">
        <v>13940</v>
      </c>
      <c r="G26" s="18">
        <f t="shared" si="1"/>
        <v>167280</v>
      </c>
      <c r="H26" s="19">
        <v>4</v>
      </c>
      <c r="I26" s="29">
        <v>4</v>
      </c>
      <c r="J26" s="29">
        <v>11317.98</v>
      </c>
      <c r="K26" s="30">
        <f t="shared" si="2"/>
        <v>135815.76</v>
      </c>
      <c r="L26" s="29">
        <v>7804</v>
      </c>
      <c r="M26" s="18">
        <f t="shared" si="3"/>
        <v>93648</v>
      </c>
      <c r="N26" s="18">
        <f t="shared" si="4"/>
        <v>72456</v>
      </c>
      <c r="O26" s="18">
        <f t="shared" si="5"/>
        <v>36228</v>
      </c>
      <c r="P26" s="18">
        <f t="shared" si="6"/>
        <v>19971</v>
      </c>
      <c r="Q26" s="18">
        <f t="shared" si="7"/>
        <v>2154</v>
      </c>
      <c r="R26" s="18">
        <f t="shared" si="8"/>
        <v>34471</v>
      </c>
      <c r="S26" s="18"/>
      <c r="T26" s="18">
        <f t="shared" si="9"/>
        <v>4309</v>
      </c>
      <c r="U26" s="18">
        <f t="shared" si="10"/>
        <v>51706</v>
      </c>
      <c r="V26" s="18">
        <f t="shared" si="11"/>
        <v>825</v>
      </c>
      <c r="W26" s="30">
        <f t="shared" si="12"/>
        <v>7988</v>
      </c>
    </row>
    <row r="27" spans="1:23" ht="21" customHeight="1">
      <c r="A27" s="15" t="s">
        <v>472</v>
      </c>
      <c r="B27" s="16">
        <v>2</v>
      </c>
      <c r="C27" s="16"/>
      <c r="D27" s="17">
        <v>0</v>
      </c>
      <c r="E27" s="18">
        <f t="shared" si="0"/>
        <v>0</v>
      </c>
      <c r="F27" s="18">
        <v>0</v>
      </c>
      <c r="G27" s="18">
        <f t="shared" si="1"/>
        <v>0</v>
      </c>
      <c r="H27" s="19"/>
      <c r="I27" s="29">
        <v>0</v>
      </c>
      <c r="J27" s="29">
        <v>0</v>
      </c>
      <c r="K27" s="30">
        <f t="shared" si="2"/>
        <v>0</v>
      </c>
      <c r="L27" s="29"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  <c r="P27" s="18">
        <f t="shared" si="6"/>
        <v>0</v>
      </c>
      <c r="Q27" s="18">
        <f t="shared" si="7"/>
        <v>0</v>
      </c>
      <c r="R27" s="18">
        <f t="shared" si="8"/>
        <v>0</v>
      </c>
      <c r="S27" s="18"/>
      <c r="T27" s="18">
        <f t="shared" si="9"/>
        <v>0</v>
      </c>
      <c r="U27" s="18">
        <f t="shared" si="10"/>
        <v>0</v>
      </c>
      <c r="V27" s="18">
        <f t="shared" si="11"/>
        <v>0</v>
      </c>
      <c r="W27" s="30">
        <f t="shared" si="12"/>
        <v>0</v>
      </c>
    </row>
    <row r="28" spans="1:23" ht="21" customHeight="1">
      <c r="A28" s="15" t="s">
        <v>473</v>
      </c>
      <c r="B28" s="16">
        <v>2</v>
      </c>
      <c r="C28" s="16">
        <v>2</v>
      </c>
      <c r="D28" s="17">
        <f>2665+2324</f>
        <v>4989</v>
      </c>
      <c r="E28" s="18">
        <f t="shared" si="0"/>
        <v>59868</v>
      </c>
      <c r="F28" s="18">
        <f>1960+1845</f>
        <v>3805</v>
      </c>
      <c r="G28" s="18">
        <f t="shared" si="1"/>
        <v>45660</v>
      </c>
      <c r="H28" s="19"/>
      <c r="I28" s="29">
        <v>0</v>
      </c>
      <c r="J28" s="29">
        <v>0</v>
      </c>
      <c r="K28" s="30">
        <f t="shared" si="2"/>
        <v>0</v>
      </c>
      <c r="L28" s="29">
        <v>0</v>
      </c>
      <c r="M28" s="18">
        <f t="shared" si="3"/>
        <v>0</v>
      </c>
      <c r="N28" s="18">
        <f t="shared" si="4"/>
        <v>17683</v>
      </c>
      <c r="O28" s="18">
        <f t="shared" si="5"/>
        <v>8841</v>
      </c>
      <c r="P28" s="18">
        <f t="shared" si="6"/>
        <v>2993</v>
      </c>
      <c r="Q28" s="18">
        <f t="shared" si="7"/>
        <v>528</v>
      </c>
      <c r="R28" s="18">
        <f t="shared" si="8"/>
        <v>8442</v>
      </c>
      <c r="S28" s="18"/>
      <c r="T28" s="18">
        <f t="shared" si="9"/>
        <v>1055</v>
      </c>
      <c r="U28" s="18">
        <f t="shared" si="10"/>
        <v>12663</v>
      </c>
      <c r="V28" s="18">
        <f t="shared" si="11"/>
        <v>150</v>
      </c>
      <c r="W28" s="30">
        <f t="shared" si="12"/>
        <v>1197</v>
      </c>
    </row>
    <row r="29" spans="1:23" ht="21" customHeight="1">
      <c r="A29" s="15" t="s">
        <v>474</v>
      </c>
      <c r="B29" s="16">
        <v>8</v>
      </c>
      <c r="C29" s="16">
        <v>7</v>
      </c>
      <c r="D29" s="17">
        <v>25468</v>
      </c>
      <c r="E29" s="18">
        <f t="shared" si="0"/>
        <v>305616</v>
      </c>
      <c r="F29" s="18">
        <v>14860</v>
      </c>
      <c r="G29" s="18">
        <f t="shared" si="1"/>
        <v>178320</v>
      </c>
      <c r="H29" s="19"/>
      <c r="I29" s="29">
        <v>0</v>
      </c>
      <c r="J29" s="29">
        <v>0</v>
      </c>
      <c r="K29" s="30">
        <f t="shared" si="2"/>
        <v>0</v>
      </c>
      <c r="L29" s="29">
        <v>0</v>
      </c>
      <c r="M29" s="18">
        <f t="shared" si="3"/>
        <v>0</v>
      </c>
      <c r="N29" s="18">
        <f t="shared" si="4"/>
        <v>81505</v>
      </c>
      <c r="O29" s="18">
        <f t="shared" si="5"/>
        <v>40752</v>
      </c>
      <c r="P29" s="18">
        <f t="shared" si="6"/>
        <v>15281</v>
      </c>
      <c r="Q29" s="18">
        <f t="shared" si="7"/>
        <v>2420</v>
      </c>
      <c r="R29" s="18">
        <f t="shared" si="8"/>
        <v>38715</v>
      </c>
      <c r="S29" s="18"/>
      <c r="T29" s="18">
        <f t="shared" si="9"/>
        <v>4839</v>
      </c>
      <c r="U29" s="18">
        <f t="shared" si="10"/>
        <v>58072</v>
      </c>
      <c r="V29" s="18">
        <f t="shared" si="11"/>
        <v>525</v>
      </c>
      <c r="W29" s="30">
        <f t="shared" si="12"/>
        <v>6112</v>
      </c>
    </row>
    <row r="30" spans="1:23" ht="21" customHeight="1">
      <c r="A30" s="15" t="s">
        <v>475</v>
      </c>
      <c r="B30" s="16">
        <v>3</v>
      </c>
      <c r="C30" s="16">
        <v>3</v>
      </c>
      <c r="D30" s="17">
        <v>8601</v>
      </c>
      <c r="E30" s="18">
        <f t="shared" si="0"/>
        <v>103212</v>
      </c>
      <c r="F30" s="18">
        <v>6060</v>
      </c>
      <c r="G30" s="18">
        <f t="shared" si="1"/>
        <v>72720</v>
      </c>
      <c r="H30" s="19"/>
      <c r="I30" s="29">
        <v>0</v>
      </c>
      <c r="J30" s="29">
        <v>0</v>
      </c>
      <c r="K30" s="30">
        <f t="shared" si="2"/>
        <v>0</v>
      </c>
      <c r="L30" s="29">
        <v>0</v>
      </c>
      <c r="M30" s="18">
        <f t="shared" si="3"/>
        <v>0</v>
      </c>
      <c r="N30" s="18">
        <f t="shared" si="4"/>
        <v>29525</v>
      </c>
      <c r="O30" s="18">
        <f t="shared" si="5"/>
        <v>14763</v>
      </c>
      <c r="P30" s="18">
        <f t="shared" si="6"/>
        <v>5161</v>
      </c>
      <c r="Q30" s="18">
        <f t="shared" si="7"/>
        <v>880</v>
      </c>
      <c r="R30" s="18">
        <f t="shared" si="8"/>
        <v>14075</v>
      </c>
      <c r="S30" s="18"/>
      <c r="T30" s="18">
        <f t="shared" si="9"/>
        <v>1759</v>
      </c>
      <c r="U30" s="18">
        <f t="shared" si="10"/>
        <v>21112</v>
      </c>
      <c r="V30" s="18">
        <f t="shared" si="11"/>
        <v>225</v>
      </c>
      <c r="W30" s="30">
        <f t="shared" si="12"/>
        <v>2064</v>
      </c>
    </row>
    <row r="31" spans="1:23" ht="21" customHeight="1">
      <c r="A31" s="15" t="s">
        <v>476</v>
      </c>
      <c r="B31" s="16">
        <v>22</v>
      </c>
      <c r="C31" s="16">
        <v>93</v>
      </c>
      <c r="D31" s="17">
        <v>312859</v>
      </c>
      <c r="E31" s="18">
        <f t="shared" si="0"/>
        <v>3754308</v>
      </c>
      <c r="F31" s="18">
        <v>184640</v>
      </c>
      <c r="G31" s="18">
        <f t="shared" si="1"/>
        <v>2215680</v>
      </c>
      <c r="H31" s="19">
        <v>45</v>
      </c>
      <c r="I31" s="29">
        <v>56</v>
      </c>
      <c r="J31" s="29">
        <v>127264</v>
      </c>
      <c r="K31" s="30">
        <f t="shared" si="2"/>
        <v>1527168</v>
      </c>
      <c r="L31" s="29">
        <v>90839</v>
      </c>
      <c r="M31" s="18">
        <f t="shared" si="3"/>
        <v>1090068</v>
      </c>
      <c r="N31" s="18">
        <f t="shared" si="4"/>
        <v>1005256</v>
      </c>
      <c r="O31" s="18">
        <f t="shared" si="5"/>
        <v>502628</v>
      </c>
      <c r="P31" s="18">
        <f t="shared" si="6"/>
        <v>264074</v>
      </c>
      <c r="Q31" s="18">
        <f t="shared" si="7"/>
        <v>29850</v>
      </c>
      <c r="R31" s="18">
        <f t="shared" si="8"/>
        <v>477599</v>
      </c>
      <c r="S31" s="18"/>
      <c r="T31" s="18">
        <f t="shared" si="9"/>
        <v>59700</v>
      </c>
      <c r="U31" s="18">
        <f t="shared" si="10"/>
        <v>716399</v>
      </c>
      <c r="V31" s="18">
        <f t="shared" si="11"/>
        <v>11175</v>
      </c>
      <c r="W31" s="30">
        <f t="shared" si="12"/>
        <v>105630</v>
      </c>
    </row>
    <row r="32" spans="1:23" ht="21" customHeight="1">
      <c r="A32" s="15" t="s">
        <v>477</v>
      </c>
      <c r="B32" s="16">
        <v>3</v>
      </c>
      <c r="C32" s="16">
        <v>2</v>
      </c>
      <c r="D32" s="17">
        <v>7368</v>
      </c>
      <c r="E32" s="18">
        <f t="shared" si="0"/>
        <v>88416</v>
      </c>
      <c r="F32" s="18">
        <v>4310</v>
      </c>
      <c r="G32" s="18">
        <f t="shared" si="1"/>
        <v>51720</v>
      </c>
      <c r="H32" s="19"/>
      <c r="I32" s="29">
        <v>0</v>
      </c>
      <c r="J32" s="29">
        <v>0</v>
      </c>
      <c r="K32" s="30">
        <f t="shared" si="2"/>
        <v>0</v>
      </c>
      <c r="L32" s="29">
        <v>0</v>
      </c>
      <c r="M32" s="18">
        <f t="shared" si="3"/>
        <v>0</v>
      </c>
      <c r="N32" s="18">
        <f t="shared" si="4"/>
        <v>23601</v>
      </c>
      <c r="O32" s="18">
        <f t="shared" si="5"/>
        <v>11800</v>
      </c>
      <c r="P32" s="18">
        <f t="shared" si="6"/>
        <v>4421</v>
      </c>
      <c r="Q32" s="18">
        <f t="shared" si="7"/>
        <v>701</v>
      </c>
      <c r="R32" s="18">
        <f t="shared" si="8"/>
        <v>11211</v>
      </c>
      <c r="S32" s="18"/>
      <c r="T32" s="18">
        <f t="shared" si="9"/>
        <v>1401</v>
      </c>
      <c r="U32" s="18">
        <f t="shared" si="10"/>
        <v>16816</v>
      </c>
      <c r="V32" s="18">
        <f t="shared" si="11"/>
        <v>150</v>
      </c>
      <c r="W32" s="30">
        <f t="shared" si="12"/>
        <v>1768</v>
      </c>
    </row>
    <row r="33" spans="1:23" ht="21" customHeight="1">
      <c r="A33" s="15" t="s">
        <v>478</v>
      </c>
      <c r="B33" s="16">
        <v>6</v>
      </c>
      <c r="C33" s="16">
        <v>4</v>
      </c>
      <c r="D33" s="17">
        <v>12191</v>
      </c>
      <c r="E33" s="18">
        <f t="shared" si="0"/>
        <v>146292</v>
      </c>
      <c r="F33" s="18">
        <v>7905</v>
      </c>
      <c r="G33" s="18">
        <f t="shared" si="1"/>
        <v>94860</v>
      </c>
      <c r="H33" s="19">
        <v>1</v>
      </c>
      <c r="I33" s="19">
        <v>1</v>
      </c>
      <c r="J33" s="29">
        <v>2669</v>
      </c>
      <c r="K33" s="30">
        <f t="shared" si="2"/>
        <v>32028</v>
      </c>
      <c r="L33" s="18">
        <v>1951</v>
      </c>
      <c r="M33" s="18">
        <f t="shared" si="3"/>
        <v>23412</v>
      </c>
      <c r="N33" s="18">
        <f t="shared" si="4"/>
        <v>40535</v>
      </c>
      <c r="O33" s="18">
        <f t="shared" si="5"/>
        <v>20267</v>
      </c>
      <c r="P33" s="18">
        <f t="shared" si="6"/>
        <v>8916</v>
      </c>
      <c r="Q33" s="18">
        <f t="shared" si="7"/>
        <v>1206</v>
      </c>
      <c r="R33" s="18">
        <f t="shared" si="8"/>
        <v>19292</v>
      </c>
      <c r="S33" s="18"/>
      <c r="T33" s="18">
        <f t="shared" si="9"/>
        <v>2412</v>
      </c>
      <c r="U33" s="18">
        <f t="shared" si="10"/>
        <v>28938</v>
      </c>
      <c r="V33" s="18">
        <f t="shared" si="11"/>
        <v>375</v>
      </c>
      <c r="W33" s="30">
        <f t="shared" si="12"/>
        <v>3566</v>
      </c>
    </row>
    <row r="34" spans="1:23" ht="21" customHeight="1">
      <c r="A34" s="11" t="s">
        <v>479</v>
      </c>
      <c r="B34" s="20">
        <f t="shared" ref="B34:W34" si="13">SUM(B7:B33)</f>
        <v>362</v>
      </c>
      <c r="C34" s="20">
        <f t="shared" si="13"/>
        <v>427</v>
      </c>
      <c r="D34" s="20">
        <f t="shared" si="13"/>
        <v>1497312</v>
      </c>
      <c r="E34" s="20">
        <f t="shared" si="13"/>
        <v>17967744</v>
      </c>
      <c r="F34" s="20">
        <f t="shared" si="13"/>
        <v>882600</v>
      </c>
      <c r="G34" s="20">
        <f t="shared" si="13"/>
        <v>10591200</v>
      </c>
      <c r="H34" s="20">
        <f t="shared" si="13"/>
        <v>252</v>
      </c>
      <c r="I34" s="20">
        <f t="shared" si="13"/>
        <v>268</v>
      </c>
      <c r="J34" s="20">
        <f t="shared" si="13"/>
        <v>731734.61</v>
      </c>
      <c r="K34" s="20">
        <f t="shared" si="13"/>
        <v>8780815.3200000003</v>
      </c>
      <c r="L34" s="20">
        <f t="shared" si="13"/>
        <v>509935</v>
      </c>
      <c r="M34" s="20">
        <f t="shared" si="13"/>
        <v>6119220</v>
      </c>
      <c r="N34" s="20">
        <f t="shared" si="13"/>
        <v>4809001</v>
      </c>
      <c r="O34" s="20">
        <f t="shared" si="13"/>
        <v>2404498</v>
      </c>
      <c r="P34" s="20">
        <f t="shared" si="13"/>
        <v>1337429</v>
      </c>
      <c r="Q34" s="20">
        <f t="shared" si="13"/>
        <v>142797</v>
      </c>
      <c r="R34" s="20">
        <f t="shared" si="13"/>
        <v>2284714</v>
      </c>
      <c r="S34" s="20">
        <f t="shared" si="13"/>
        <v>0</v>
      </c>
      <c r="T34" s="20">
        <f t="shared" si="13"/>
        <v>285593</v>
      </c>
      <c r="U34" s="20">
        <f t="shared" si="13"/>
        <v>3427072</v>
      </c>
      <c r="V34" s="20">
        <f t="shared" si="13"/>
        <v>52125</v>
      </c>
      <c r="W34" s="20">
        <f t="shared" si="13"/>
        <v>534968</v>
      </c>
    </row>
    <row r="35" spans="1:23" ht="21" customHeigh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ht="21" customHeight="1">
      <c r="A36" s="23" t="s">
        <v>480</v>
      </c>
      <c r="B36" s="24">
        <v>14</v>
      </c>
      <c r="C36" s="24">
        <v>14</v>
      </c>
      <c r="D36" s="24">
        <v>51798</v>
      </c>
      <c r="E36" s="18">
        <f t="shared" ref="E36:E54" si="14">D36*12</f>
        <v>621576</v>
      </c>
      <c r="F36" s="24">
        <f>59365-1900*16</f>
        <v>28965</v>
      </c>
      <c r="G36" s="18">
        <f t="shared" ref="G36:G54" si="15">F36*12</f>
        <v>347580</v>
      </c>
      <c r="H36" s="24">
        <v>21</v>
      </c>
      <c r="I36" s="24">
        <v>21</v>
      </c>
      <c r="J36" s="24">
        <f>106492-J118</f>
        <v>55708</v>
      </c>
      <c r="K36" s="30">
        <f t="shared" ref="K36:K54" si="16">J36*12</f>
        <v>668496</v>
      </c>
      <c r="L36" s="24">
        <f>71557-L118</f>
        <v>39165</v>
      </c>
      <c r="M36" s="18">
        <f t="shared" ref="M36:M54" si="17">L36*12</f>
        <v>469980</v>
      </c>
      <c r="N36" s="18">
        <f t="shared" ref="N36:N54" si="18">ROUND((E36+G36)*0.16+D36*0.16,0)</f>
        <v>163353</v>
      </c>
      <c r="O36" s="18">
        <f t="shared" ref="O36:O54" si="19">ROUND((E36+G36)*0.08+D36*0.08,0)</f>
        <v>81676</v>
      </c>
      <c r="P36" s="18">
        <f t="shared" ref="P36:P54" si="20">ROUND((E36+K36)*0.05,0)</f>
        <v>64504</v>
      </c>
      <c r="Q36" s="18">
        <f t="shared" ref="Q36:Q54" si="21">ROUND((E36+G36)*0.005,0)</f>
        <v>4846</v>
      </c>
      <c r="R36" s="18">
        <f t="shared" ref="R36:R54" si="22">ROUND((E36+G36)*0.08,0)</f>
        <v>77532</v>
      </c>
      <c r="S36" s="18"/>
      <c r="T36" s="18">
        <f t="shared" ref="T36:T54" si="23">ROUND((E36+G36)*0.01,0)</f>
        <v>9692</v>
      </c>
      <c r="U36" s="18">
        <f t="shared" ref="U36:U54" si="24">ROUND((E36+G36)*0.12,0)</f>
        <v>116299</v>
      </c>
      <c r="V36" s="18">
        <f t="shared" ref="V36:V54" si="25">ROUND((C36+I36)*75,0)</f>
        <v>2625</v>
      </c>
      <c r="W36" s="30">
        <f t="shared" ref="W36:W54" si="26">ROUND((E36+K36)*0.02,0)</f>
        <v>25801</v>
      </c>
    </row>
    <row r="37" spans="1:23" ht="21" customHeight="1">
      <c r="A37" s="15" t="s">
        <v>481</v>
      </c>
      <c r="B37" s="18">
        <v>10</v>
      </c>
      <c r="C37" s="18">
        <v>8</v>
      </c>
      <c r="D37" s="18">
        <v>24990</v>
      </c>
      <c r="E37" s="18">
        <f t="shared" si="14"/>
        <v>299880</v>
      </c>
      <c r="F37" s="18">
        <v>16210</v>
      </c>
      <c r="G37" s="18">
        <f t="shared" si="15"/>
        <v>194520</v>
      </c>
      <c r="H37" s="18">
        <v>5</v>
      </c>
      <c r="I37" s="18">
        <v>7</v>
      </c>
      <c r="J37" s="18">
        <v>20846</v>
      </c>
      <c r="K37" s="18">
        <f t="shared" si="16"/>
        <v>250152</v>
      </c>
      <c r="L37" s="18">
        <v>13846</v>
      </c>
      <c r="M37" s="18">
        <f t="shared" si="17"/>
        <v>166152</v>
      </c>
      <c r="N37" s="18">
        <f t="shared" si="18"/>
        <v>83102</v>
      </c>
      <c r="O37" s="18">
        <f t="shared" si="19"/>
        <v>41551</v>
      </c>
      <c r="P37" s="18">
        <f t="shared" si="20"/>
        <v>27502</v>
      </c>
      <c r="Q37" s="18">
        <f t="shared" si="21"/>
        <v>2472</v>
      </c>
      <c r="R37" s="18">
        <f t="shared" si="22"/>
        <v>39552</v>
      </c>
      <c r="S37" s="18"/>
      <c r="T37" s="18">
        <f t="shared" si="23"/>
        <v>4944</v>
      </c>
      <c r="U37" s="18">
        <f t="shared" si="24"/>
        <v>59328</v>
      </c>
      <c r="V37" s="18">
        <f t="shared" si="25"/>
        <v>1125</v>
      </c>
      <c r="W37" s="30">
        <f t="shared" si="26"/>
        <v>11001</v>
      </c>
    </row>
    <row r="38" spans="1:23" ht="21" customHeight="1">
      <c r="A38" s="25" t="s">
        <v>482</v>
      </c>
      <c r="B38" s="20">
        <f t="shared" ref="B38:W38" si="27">SUM(B36:B37)</f>
        <v>24</v>
      </c>
      <c r="C38" s="20">
        <f t="shared" si="27"/>
        <v>22</v>
      </c>
      <c r="D38" s="20">
        <f t="shared" si="27"/>
        <v>76788</v>
      </c>
      <c r="E38" s="20">
        <f t="shared" si="27"/>
        <v>921456</v>
      </c>
      <c r="F38" s="20">
        <f t="shared" si="27"/>
        <v>45175</v>
      </c>
      <c r="G38" s="20">
        <f t="shared" si="27"/>
        <v>542100</v>
      </c>
      <c r="H38" s="20">
        <f t="shared" si="27"/>
        <v>26</v>
      </c>
      <c r="I38" s="20">
        <f t="shared" si="27"/>
        <v>28</v>
      </c>
      <c r="J38" s="20">
        <f t="shared" si="27"/>
        <v>76554</v>
      </c>
      <c r="K38" s="20">
        <f t="shared" si="27"/>
        <v>918648</v>
      </c>
      <c r="L38" s="20">
        <f t="shared" si="27"/>
        <v>53011</v>
      </c>
      <c r="M38" s="20">
        <f t="shared" si="27"/>
        <v>636132</v>
      </c>
      <c r="N38" s="20">
        <f t="shared" si="27"/>
        <v>246455</v>
      </c>
      <c r="O38" s="20">
        <f t="shared" si="27"/>
        <v>123227</v>
      </c>
      <c r="P38" s="20">
        <f t="shared" si="27"/>
        <v>92006</v>
      </c>
      <c r="Q38" s="20">
        <f t="shared" si="27"/>
        <v>7318</v>
      </c>
      <c r="R38" s="20">
        <f t="shared" si="27"/>
        <v>117084</v>
      </c>
      <c r="S38" s="20">
        <f t="shared" si="27"/>
        <v>0</v>
      </c>
      <c r="T38" s="20">
        <f t="shared" si="27"/>
        <v>14636</v>
      </c>
      <c r="U38" s="20">
        <f t="shared" si="27"/>
        <v>175627</v>
      </c>
      <c r="V38" s="20">
        <f t="shared" si="27"/>
        <v>3750</v>
      </c>
      <c r="W38" s="20">
        <f t="shared" si="27"/>
        <v>36802</v>
      </c>
    </row>
    <row r="39" spans="1:23" s="1" customFormat="1" ht="21" customHeight="1">
      <c r="A39" s="26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1"/>
      <c r="W39" s="21"/>
    </row>
    <row r="40" spans="1:23" ht="21" customHeight="1">
      <c r="A40" s="15" t="s">
        <v>483</v>
      </c>
      <c r="B40" s="18">
        <v>8</v>
      </c>
      <c r="C40" s="18">
        <v>13</v>
      </c>
      <c r="D40" s="18">
        <v>48527</v>
      </c>
      <c r="E40" s="18">
        <f t="shared" si="14"/>
        <v>582324</v>
      </c>
      <c r="F40" s="18">
        <v>27160</v>
      </c>
      <c r="G40" s="18">
        <f t="shared" si="15"/>
        <v>325920</v>
      </c>
      <c r="H40" s="18">
        <v>14</v>
      </c>
      <c r="I40" s="18">
        <v>15</v>
      </c>
      <c r="J40" s="18">
        <v>42374</v>
      </c>
      <c r="K40" s="18">
        <f t="shared" si="16"/>
        <v>508488</v>
      </c>
      <c r="L40" s="18">
        <v>27551</v>
      </c>
      <c r="M40" s="18">
        <f t="shared" si="17"/>
        <v>330612</v>
      </c>
      <c r="N40" s="18">
        <f t="shared" si="18"/>
        <v>153083</v>
      </c>
      <c r="O40" s="18">
        <f t="shared" si="19"/>
        <v>76542</v>
      </c>
      <c r="P40" s="18">
        <f t="shared" si="20"/>
        <v>54541</v>
      </c>
      <c r="Q40" s="18">
        <f t="shared" si="21"/>
        <v>4541</v>
      </c>
      <c r="R40" s="18">
        <f t="shared" si="22"/>
        <v>72660</v>
      </c>
      <c r="S40" s="18"/>
      <c r="T40" s="18">
        <f t="shared" si="23"/>
        <v>9082</v>
      </c>
      <c r="U40" s="18">
        <f t="shared" si="24"/>
        <v>108989</v>
      </c>
      <c r="V40" s="18">
        <f t="shared" si="25"/>
        <v>2100</v>
      </c>
      <c r="W40" s="30">
        <f t="shared" si="26"/>
        <v>21816</v>
      </c>
    </row>
    <row r="41" spans="1:23" ht="21" customHeight="1">
      <c r="A41" s="15" t="s">
        <v>484</v>
      </c>
      <c r="B41" s="18">
        <v>6</v>
      </c>
      <c r="C41" s="18">
        <v>6</v>
      </c>
      <c r="D41" s="18">
        <v>20585</v>
      </c>
      <c r="E41" s="18">
        <f t="shared" si="14"/>
        <v>247020</v>
      </c>
      <c r="F41" s="18">
        <v>12510</v>
      </c>
      <c r="G41" s="18">
        <f t="shared" si="15"/>
        <v>150120</v>
      </c>
      <c r="H41" s="18"/>
      <c r="I41" s="18"/>
      <c r="J41" s="18"/>
      <c r="K41" s="18">
        <f t="shared" si="16"/>
        <v>0</v>
      </c>
      <c r="L41" s="18"/>
      <c r="M41" s="18">
        <f t="shared" si="17"/>
        <v>0</v>
      </c>
      <c r="N41" s="18">
        <f t="shared" si="18"/>
        <v>66836</v>
      </c>
      <c r="O41" s="18">
        <f t="shared" si="19"/>
        <v>33418</v>
      </c>
      <c r="P41" s="18">
        <f t="shared" si="20"/>
        <v>12351</v>
      </c>
      <c r="Q41" s="18">
        <f t="shared" si="21"/>
        <v>1986</v>
      </c>
      <c r="R41" s="18">
        <f t="shared" si="22"/>
        <v>31771</v>
      </c>
      <c r="S41" s="18"/>
      <c r="T41" s="18">
        <f t="shared" si="23"/>
        <v>3971</v>
      </c>
      <c r="U41" s="18">
        <f t="shared" si="24"/>
        <v>47657</v>
      </c>
      <c r="V41" s="18">
        <f t="shared" si="25"/>
        <v>450</v>
      </c>
      <c r="W41" s="30">
        <f t="shared" si="26"/>
        <v>4940</v>
      </c>
    </row>
    <row r="42" spans="1:23" ht="21" customHeight="1">
      <c r="A42" s="15" t="s">
        <v>485</v>
      </c>
      <c r="B42" s="18">
        <v>3</v>
      </c>
      <c r="C42" s="18">
        <v>1</v>
      </c>
      <c r="D42" s="18">
        <v>3276</v>
      </c>
      <c r="E42" s="18">
        <f t="shared" si="14"/>
        <v>39312</v>
      </c>
      <c r="F42" s="18">
        <v>1890</v>
      </c>
      <c r="G42" s="18">
        <f t="shared" si="15"/>
        <v>22680</v>
      </c>
      <c r="H42" s="18">
        <v>2</v>
      </c>
      <c r="I42" s="18">
        <v>2</v>
      </c>
      <c r="J42" s="18">
        <v>4738</v>
      </c>
      <c r="K42" s="18">
        <f t="shared" si="16"/>
        <v>56856</v>
      </c>
      <c r="L42" s="18">
        <v>3319</v>
      </c>
      <c r="M42" s="18">
        <f t="shared" si="17"/>
        <v>39828</v>
      </c>
      <c r="N42" s="18">
        <f t="shared" si="18"/>
        <v>10443</v>
      </c>
      <c r="O42" s="18">
        <f t="shared" si="19"/>
        <v>5221</v>
      </c>
      <c r="P42" s="18">
        <f t="shared" si="20"/>
        <v>4808</v>
      </c>
      <c r="Q42" s="18">
        <f t="shared" si="21"/>
        <v>310</v>
      </c>
      <c r="R42" s="18">
        <f t="shared" si="22"/>
        <v>4959</v>
      </c>
      <c r="S42" s="18"/>
      <c r="T42" s="18">
        <f t="shared" si="23"/>
        <v>620</v>
      </c>
      <c r="U42" s="18">
        <f t="shared" si="24"/>
        <v>7439</v>
      </c>
      <c r="V42" s="18">
        <f t="shared" si="25"/>
        <v>225</v>
      </c>
      <c r="W42" s="30">
        <f t="shared" si="26"/>
        <v>1923</v>
      </c>
    </row>
    <row r="43" spans="1:23" ht="21" customHeight="1">
      <c r="A43" s="15" t="s">
        <v>486</v>
      </c>
      <c r="B43" s="18">
        <v>25</v>
      </c>
      <c r="C43" s="18">
        <v>21</v>
      </c>
      <c r="D43" s="18">
        <v>76505</v>
      </c>
      <c r="E43" s="18">
        <f t="shared" si="14"/>
        <v>918060</v>
      </c>
      <c r="F43" s="18">
        <v>43520</v>
      </c>
      <c r="G43" s="18">
        <f t="shared" si="15"/>
        <v>522240</v>
      </c>
      <c r="H43" s="18">
        <v>19</v>
      </c>
      <c r="I43" s="18">
        <v>21</v>
      </c>
      <c r="J43" s="18">
        <v>53769</v>
      </c>
      <c r="K43" s="18">
        <f t="shared" si="16"/>
        <v>645228</v>
      </c>
      <c r="L43" s="18">
        <v>39684</v>
      </c>
      <c r="M43" s="18">
        <f t="shared" si="17"/>
        <v>476208</v>
      </c>
      <c r="N43" s="18">
        <f t="shared" si="18"/>
        <v>242689</v>
      </c>
      <c r="O43" s="18">
        <f t="shared" si="19"/>
        <v>121344</v>
      </c>
      <c r="P43" s="18">
        <f t="shared" si="20"/>
        <v>78164</v>
      </c>
      <c r="Q43" s="18">
        <f t="shared" si="21"/>
        <v>7202</v>
      </c>
      <c r="R43" s="18">
        <f t="shared" si="22"/>
        <v>115224</v>
      </c>
      <c r="S43" s="18"/>
      <c r="T43" s="18">
        <f t="shared" si="23"/>
        <v>14403</v>
      </c>
      <c r="U43" s="18">
        <f t="shared" si="24"/>
        <v>172836</v>
      </c>
      <c r="V43" s="18">
        <f t="shared" si="25"/>
        <v>3150</v>
      </c>
      <c r="W43" s="30">
        <f t="shared" si="26"/>
        <v>31266</v>
      </c>
    </row>
    <row r="44" spans="1:23" s="1" customFormat="1" ht="21" customHeight="1">
      <c r="A44" s="15" t="s">
        <v>487</v>
      </c>
      <c r="B44" s="18">
        <v>15</v>
      </c>
      <c r="C44" s="18">
        <v>14</v>
      </c>
      <c r="D44" s="18">
        <v>43138</v>
      </c>
      <c r="E44" s="18">
        <f t="shared" si="14"/>
        <v>517656</v>
      </c>
      <c r="F44" s="18">
        <v>27055</v>
      </c>
      <c r="G44" s="18">
        <f t="shared" si="15"/>
        <v>324660</v>
      </c>
      <c r="H44" s="18"/>
      <c r="I44" s="18"/>
      <c r="J44" s="18"/>
      <c r="K44" s="18">
        <f t="shared" si="16"/>
        <v>0</v>
      </c>
      <c r="L44" s="18"/>
      <c r="M44" s="18">
        <f t="shared" si="17"/>
        <v>0</v>
      </c>
      <c r="N44" s="18">
        <f t="shared" si="18"/>
        <v>141673</v>
      </c>
      <c r="O44" s="18">
        <f t="shared" si="19"/>
        <v>70836</v>
      </c>
      <c r="P44" s="18">
        <f t="shared" si="20"/>
        <v>25883</v>
      </c>
      <c r="Q44" s="18">
        <f t="shared" si="21"/>
        <v>4212</v>
      </c>
      <c r="R44" s="18">
        <f t="shared" si="22"/>
        <v>67385</v>
      </c>
      <c r="S44" s="18"/>
      <c r="T44" s="18">
        <f t="shared" si="23"/>
        <v>8423</v>
      </c>
      <c r="U44" s="18">
        <f t="shared" si="24"/>
        <v>101078</v>
      </c>
      <c r="V44" s="18">
        <f t="shared" si="25"/>
        <v>1050</v>
      </c>
      <c r="W44" s="30">
        <f t="shared" si="26"/>
        <v>10353</v>
      </c>
    </row>
    <row r="45" spans="1:23" ht="21" customHeight="1">
      <c r="A45" s="15" t="s">
        <v>488</v>
      </c>
      <c r="B45" s="18"/>
      <c r="C45" s="18"/>
      <c r="D45" s="18"/>
      <c r="E45" s="18">
        <f t="shared" si="14"/>
        <v>0</v>
      </c>
      <c r="F45" s="18"/>
      <c r="G45" s="18">
        <f t="shared" si="15"/>
        <v>0</v>
      </c>
      <c r="H45" s="18">
        <v>25</v>
      </c>
      <c r="I45" s="18">
        <v>25</v>
      </c>
      <c r="J45" s="18">
        <v>63799</v>
      </c>
      <c r="K45" s="18">
        <f t="shared" si="16"/>
        <v>765588</v>
      </c>
      <c r="L45" s="18">
        <v>40864</v>
      </c>
      <c r="M45" s="18">
        <f t="shared" si="17"/>
        <v>490368</v>
      </c>
      <c r="N45" s="18">
        <f t="shared" si="18"/>
        <v>0</v>
      </c>
      <c r="O45" s="18">
        <f t="shared" si="19"/>
        <v>0</v>
      </c>
      <c r="P45" s="18">
        <f t="shared" si="20"/>
        <v>38279</v>
      </c>
      <c r="Q45" s="18">
        <f t="shared" si="21"/>
        <v>0</v>
      </c>
      <c r="R45" s="18">
        <f t="shared" si="22"/>
        <v>0</v>
      </c>
      <c r="S45" s="18"/>
      <c r="T45" s="18">
        <f t="shared" si="23"/>
        <v>0</v>
      </c>
      <c r="U45" s="18">
        <f t="shared" si="24"/>
        <v>0</v>
      </c>
      <c r="V45" s="18">
        <f t="shared" si="25"/>
        <v>1875</v>
      </c>
      <c r="W45" s="30">
        <f t="shared" si="26"/>
        <v>15312</v>
      </c>
    </row>
    <row r="46" spans="1:23" ht="21" customHeight="1">
      <c r="A46" s="15" t="s">
        <v>489</v>
      </c>
      <c r="B46" s="18">
        <v>7</v>
      </c>
      <c r="C46" s="18">
        <v>15</v>
      </c>
      <c r="D46" s="18">
        <v>49133</v>
      </c>
      <c r="E46" s="18">
        <f t="shared" si="14"/>
        <v>589596</v>
      </c>
      <c r="F46" s="18">
        <v>30100</v>
      </c>
      <c r="G46" s="18">
        <f t="shared" si="15"/>
        <v>361200</v>
      </c>
      <c r="H46" s="18">
        <v>6</v>
      </c>
      <c r="I46" s="18">
        <v>6</v>
      </c>
      <c r="J46" s="18">
        <v>18447</v>
      </c>
      <c r="K46" s="18">
        <f t="shared" si="16"/>
        <v>221364</v>
      </c>
      <c r="L46" s="18">
        <v>11706</v>
      </c>
      <c r="M46" s="18">
        <f t="shared" si="17"/>
        <v>140472</v>
      </c>
      <c r="N46" s="18">
        <f t="shared" si="18"/>
        <v>159989</v>
      </c>
      <c r="O46" s="18">
        <f t="shared" si="19"/>
        <v>79994</v>
      </c>
      <c r="P46" s="18">
        <f t="shared" si="20"/>
        <v>40548</v>
      </c>
      <c r="Q46" s="18">
        <f t="shared" si="21"/>
        <v>4754</v>
      </c>
      <c r="R46" s="18">
        <f t="shared" si="22"/>
        <v>76064</v>
      </c>
      <c r="S46" s="18"/>
      <c r="T46" s="18">
        <f t="shared" si="23"/>
        <v>9508</v>
      </c>
      <c r="U46" s="18">
        <f t="shared" si="24"/>
        <v>114096</v>
      </c>
      <c r="V46" s="18">
        <f t="shared" si="25"/>
        <v>1575</v>
      </c>
      <c r="W46" s="30">
        <f t="shared" si="26"/>
        <v>16219</v>
      </c>
    </row>
    <row r="47" spans="1:23" ht="21" customHeight="1">
      <c r="A47" s="15" t="s">
        <v>490</v>
      </c>
      <c r="B47" s="18">
        <v>2</v>
      </c>
      <c r="C47" s="18">
        <v>2</v>
      </c>
      <c r="D47" s="18">
        <v>6006</v>
      </c>
      <c r="E47" s="18">
        <f t="shared" si="14"/>
        <v>72072</v>
      </c>
      <c r="F47" s="18">
        <v>3920</v>
      </c>
      <c r="G47" s="18">
        <f t="shared" si="15"/>
        <v>47040</v>
      </c>
      <c r="H47" s="18"/>
      <c r="I47" s="18"/>
      <c r="J47" s="18"/>
      <c r="K47" s="18">
        <f t="shared" si="16"/>
        <v>0</v>
      </c>
      <c r="L47" s="18"/>
      <c r="M47" s="18">
        <f t="shared" si="17"/>
        <v>0</v>
      </c>
      <c r="N47" s="18">
        <f t="shared" si="18"/>
        <v>20019</v>
      </c>
      <c r="O47" s="18">
        <f t="shared" si="19"/>
        <v>10009</v>
      </c>
      <c r="P47" s="18">
        <f t="shared" si="20"/>
        <v>3604</v>
      </c>
      <c r="Q47" s="18">
        <f t="shared" si="21"/>
        <v>596</v>
      </c>
      <c r="R47" s="18">
        <f t="shared" si="22"/>
        <v>9529</v>
      </c>
      <c r="S47" s="18"/>
      <c r="T47" s="18">
        <f t="shared" si="23"/>
        <v>1191</v>
      </c>
      <c r="U47" s="18">
        <f t="shared" si="24"/>
        <v>14293</v>
      </c>
      <c r="V47" s="18">
        <f t="shared" si="25"/>
        <v>150</v>
      </c>
      <c r="W47" s="30">
        <f t="shared" si="26"/>
        <v>1441</v>
      </c>
    </row>
    <row r="48" spans="1:23" ht="21" customHeight="1">
      <c r="A48" s="15" t="s">
        <v>491</v>
      </c>
      <c r="B48" s="18">
        <v>5</v>
      </c>
      <c r="C48" s="18">
        <v>3</v>
      </c>
      <c r="D48" s="18">
        <v>8341</v>
      </c>
      <c r="E48" s="18">
        <f t="shared" si="14"/>
        <v>100092</v>
      </c>
      <c r="F48" s="18">
        <v>5625</v>
      </c>
      <c r="G48" s="18">
        <f t="shared" si="15"/>
        <v>67500</v>
      </c>
      <c r="H48" s="18">
        <v>1</v>
      </c>
      <c r="I48" s="18">
        <v>1</v>
      </c>
      <c r="J48" s="18">
        <v>2082</v>
      </c>
      <c r="K48" s="18">
        <f t="shared" si="16"/>
        <v>24984</v>
      </c>
      <c r="L48" s="18">
        <v>1871</v>
      </c>
      <c r="M48" s="18">
        <f t="shared" si="17"/>
        <v>22452</v>
      </c>
      <c r="N48" s="18">
        <f t="shared" si="18"/>
        <v>28149</v>
      </c>
      <c r="O48" s="18">
        <f t="shared" si="19"/>
        <v>14075</v>
      </c>
      <c r="P48" s="18">
        <f t="shared" si="20"/>
        <v>6254</v>
      </c>
      <c r="Q48" s="18">
        <f t="shared" si="21"/>
        <v>838</v>
      </c>
      <c r="R48" s="18">
        <f t="shared" si="22"/>
        <v>13407</v>
      </c>
      <c r="S48" s="18"/>
      <c r="T48" s="18">
        <f t="shared" si="23"/>
        <v>1676</v>
      </c>
      <c r="U48" s="18">
        <f t="shared" si="24"/>
        <v>20111</v>
      </c>
      <c r="V48" s="18">
        <f t="shared" si="25"/>
        <v>300</v>
      </c>
      <c r="W48" s="30">
        <f t="shared" si="26"/>
        <v>2502</v>
      </c>
    </row>
    <row r="49" spans="1:23" ht="21" customHeight="1">
      <c r="A49" s="15" t="s">
        <v>492</v>
      </c>
      <c r="B49" s="18">
        <v>5</v>
      </c>
      <c r="C49" s="18">
        <v>10</v>
      </c>
      <c r="D49" s="18">
        <v>37229</v>
      </c>
      <c r="E49" s="18">
        <f t="shared" si="14"/>
        <v>446748</v>
      </c>
      <c r="F49" s="18">
        <v>21280</v>
      </c>
      <c r="G49" s="18">
        <f t="shared" si="15"/>
        <v>255360</v>
      </c>
      <c r="H49" s="18"/>
      <c r="I49" s="18"/>
      <c r="J49" s="18"/>
      <c r="K49" s="18">
        <f t="shared" si="16"/>
        <v>0</v>
      </c>
      <c r="L49" s="18"/>
      <c r="M49" s="18">
        <f t="shared" si="17"/>
        <v>0</v>
      </c>
      <c r="N49" s="18">
        <f t="shared" si="18"/>
        <v>118294</v>
      </c>
      <c r="O49" s="18">
        <f t="shared" si="19"/>
        <v>59147</v>
      </c>
      <c r="P49" s="18">
        <f t="shared" si="20"/>
        <v>22337</v>
      </c>
      <c r="Q49" s="18">
        <f t="shared" si="21"/>
        <v>3511</v>
      </c>
      <c r="R49" s="18">
        <f t="shared" si="22"/>
        <v>56169</v>
      </c>
      <c r="S49" s="18"/>
      <c r="T49" s="18">
        <f t="shared" si="23"/>
        <v>7021</v>
      </c>
      <c r="U49" s="18">
        <f t="shared" si="24"/>
        <v>84253</v>
      </c>
      <c r="V49" s="18">
        <f t="shared" si="25"/>
        <v>750</v>
      </c>
      <c r="W49" s="30">
        <f t="shared" si="26"/>
        <v>8935</v>
      </c>
    </row>
    <row r="50" spans="1:23" ht="21" customHeight="1">
      <c r="A50" s="15" t="s">
        <v>493</v>
      </c>
      <c r="B50" s="18">
        <v>6</v>
      </c>
      <c r="C50" s="18">
        <v>8</v>
      </c>
      <c r="D50" s="18">
        <v>26203</v>
      </c>
      <c r="E50" s="18">
        <f t="shared" si="14"/>
        <v>314436</v>
      </c>
      <c r="F50" s="18">
        <v>15135</v>
      </c>
      <c r="G50" s="18">
        <f t="shared" si="15"/>
        <v>181620</v>
      </c>
      <c r="H50" s="18">
        <v>2</v>
      </c>
      <c r="I50" s="18">
        <v>2</v>
      </c>
      <c r="J50" s="18">
        <v>3952</v>
      </c>
      <c r="K50" s="18">
        <f t="shared" si="16"/>
        <v>47424</v>
      </c>
      <c r="L50" s="18">
        <v>3507</v>
      </c>
      <c r="M50" s="18">
        <f t="shared" si="17"/>
        <v>42084</v>
      </c>
      <c r="N50" s="18">
        <f t="shared" si="18"/>
        <v>83561</v>
      </c>
      <c r="O50" s="18">
        <f t="shared" si="19"/>
        <v>41781</v>
      </c>
      <c r="P50" s="18">
        <f t="shared" si="20"/>
        <v>18093</v>
      </c>
      <c r="Q50" s="18">
        <f t="shared" si="21"/>
        <v>2480</v>
      </c>
      <c r="R50" s="18">
        <f t="shared" si="22"/>
        <v>39684</v>
      </c>
      <c r="S50" s="18"/>
      <c r="T50" s="18">
        <f t="shared" si="23"/>
        <v>4961</v>
      </c>
      <c r="U50" s="18">
        <f t="shared" si="24"/>
        <v>59527</v>
      </c>
      <c r="V50" s="18">
        <f t="shared" si="25"/>
        <v>750</v>
      </c>
      <c r="W50" s="30">
        <f t="shared" si="26"/>
        <v>7237</v>
      </c>
    </row>
    <row r="51" spans="1:23" ht="21" customHeight="1">
      <c r="A51" s="15" t="s">
        <v>494</v>
      </c>
      <c r="B51" s="18">
        <v>3</v>
      </c>
      <c r="C51" s="18">
        <v>1</v>
      </c>
      <c r="D51" s="18">
        <v>2603</v>
      </c>
      <c r="E51" s="18">
        <f t="shared" si="14"/>
        <v>31236</v>
      </c>
      <c r="F51" s="18">
        <v>1845</v>
      </c>
      <c r="G51" s="18">
        <f t="shared" si="15"/>
        <v>22140</v>
      </c>
      <c r="H51" s="18">
        <v>4</v>
      </c>
      <c r="I51" s="18">
        <v>2</v>
      </c>
      <c r="J51" s="18">
        <v>3709</v>
      </c>
      <c r="K51" s="18">
        <f t="shared" si="16"/>
        <v>44508</v>
      </c>
      <c r="L51" s="18">
        <v>3742</v>
      </c>
      <c r="M51" s="18">
        <f t="shared" si="17"/>
        <v>44904</v>
      </c>
      <c r="N51" s="18">
        <f t="shared" si="18"/>
        <v>8957</v>
      </c>
      <c r="O51" s="18">
        <f t="shared" si="19"/>
        <v>4478</v>
      </c>
      <c r="P51" s="18">
        <f t="shared" si="20"/>
        <v>3787</v>
      </c>
      <c r="Q51" s="18">
        <f t="shared" si="21"/>
        <v>267</v>
      </c>
      <c r="R51" s="18">
        <f t="shared" si="22"/>
        <v>4270</v>
      </c>
      <c r="S51" s="18"/>
      <c r="T51" s="18">
        <f t="shared" si="23"/>
        <v>534</v>
      </c>
      <c r="U51" s="18">
        <f t="shared" si="24"/>
        <v>6405</v>
      </c>
      <c r="V51" s="18">
        <f t="shared" si="25"/>
        <v>225</v>
      </c>
      <c r="W51" s="30">
        <f t="shared" si="26"/>
        <v>1515</v>
      </c>
    </row>
    <row r="52" spans="1:23" ht="21" customHeight="1">
      <c r="A52" s="15" t="s">
        <v>495</v>
      </c>
      <c r="B52" s="18">
        <v>11</v>
      </c>
      <c r="C52" s="18">
        <v>8</v>
      </c>
      <c r="D52" s="18">
        <v>22344</v>
      </c>
      <c r="E52" s="18">
        <f t="shared" si="14"/>
        <v>268128</v>
      </c>
      <c r="F52" s="18">
        <v>14850</v>
      </c>
      <c r="G52" s="18">
        <f t="shared" si="15"/>
        <v>178200</v>
      </c>
      <c r="H52" s="18">
        <v>1</v>
      </c>
      <c r="I52" s="18"/>
      <c r="J52" s="18"/>
      <c r="K52" s="18">
        <f t="shared" si="16"/>
        <v>0</v>
      </c>
      <c r="L52" s="18"/>
      <c r="M52" s="18">
        <f t="shared" si="17"/>
        <v>0</v>
      </c>
      <c r="N52" s="18">
        <f t="shared" si="18"/>
        <v>74988</v>
      </c>
      <c r="O52" s="18">
        <f t="shared" si="19"/>
        <v>37494</v>
      </c>
      <c r="P52" s="18">
        <f t="shared" si="20"/>
        <v>13406</v>
      </c>
      <c r="Q52" s="18">
        <f t="shared" si="21"/>
        <v>2232</v>
      </c>
      <c r="R52" s="18">
        <f t="shared" si="22"/>
        <v>35706</v>
      </c>
      <c r="S52" s="18"/>
      <c r="T52" s="18">
        <f t="shared" si="23"/>
        <v>4463</v>
      </c>
      <c r="U52" s="18">
        <f t="shared" si="24"/>
        <v>53559</v>
      </c>
      <c r="V52" s="18">
        <f t="shared" si="25"/>
        <v>600</v>
      </c>
      <c r="W52" s="30">
        <f t="shared" si="26"/>
        <v>5363</v>
      </c>
    </row>
    <row r="53" spans="1:23" ht="21" customHeight="1">
      <c r="A53" s="15" t="s">
        <v>496</v>
      </c>
      <c r="B53" s="18">
        <v>4</v>
      </c>
      <c r="C53" s="18">
        <v>3</v>
      </c>
      <c r="D53" s="18">
        <v>12079</v>
      </c>
      <c r="E53" s="18">
        <f t="shared" si="14"/>
        <v>144948</v>
      </c>
      <c r="F53" s="18">
        <v>6450</v>
      </c>
      <c r="G53" s="18">
        <f t="shared" si="15"/>
        <v>77400</v>
      </c>
      <c r="H53" s="18"/>
      <c r="I53" s="18"/>
      <c r="J53" s="18"/>
      <c r="K53" s="18">
        <f t="shared" si="16"/>
        <v>0</v>
      </c>
      <c r="L53" s="18"/>
      <c r="M53" s="18">
        <f t="shared" si="17"/>
        <v>0</v>
      </c>
      <c r="N53" s="18">
        <f t="shared" si="18"/>
        <v>37508</v>
      </c>
      <c r="O53" s="18">
        <f t="shared" si="19"/>
        <v>18754</v>
      </c>
      <c r="P53" s="18">
        <f t="shared" si="20"/>
        <v>7247</v>
      </c>
      <c r="Q53" s="18">
        <f t="shared" si="21"/>
        <v>1112</v>
      </c>
      <c r="R53" s="18">
        <f t="shared" si="22"/>
        <v>17788</v>
      </c>
      <c r="S53" s="18"/>
      <c r="T53" s="18">
        <f t="shared" si="23"/>
        <v>2223</v>
      </c>
      <c r="U53" s="18">
        <f t="shared" si="24"/>
        <v>26682</v>
      </c>
      <c r="V53" s="18">
        <f t="shared" si="25"/>
        <v>225</v>
      </c>
      <c r="W53" s="30">
        <f t="shared" si="26"/>
        <v>2899</v>
      </c>
    </row>
    <row r="54" spans="1:23" ht="21" customHeight="1">
      <c r="A54" s="15" t="s">
        <v>497</v>
      </c>
      <c r="B54" s="18">
        <v>7</v>
      </c>
      <c r="C54" s="18"/>
      <c r="D54" s="18"/>
      <c r="E54" s="18">
        <f t="shared" si="14"/>
        <v>0</v>
      </c>
      <c r="F54" s="18"/>
      <c r="G54" s="18">
        <f t="shared" si="15"/>
        <v>0</v>
      </c>
      <c r="H54" s="18"/>
      <c r="I54" s="18"/>
      <c r="J54" s="18"/>
      <c r="K54" s="18">
        <f t="shared" si="16"/>
        <v>0</v>
      </c>
      <c r="L54" s="18"/>
      <c r="M54" s="18">
        <f t="shared" si="17"/>
        <v>0</v>
      </c>
      <c r="N54" s="18">
        <f t="shared" si="18"/>
        <v>0</v>
      </c>
      <c r="O54" s="18">
        <f t="shared" si="19"/>
        <v>0</v>
      </c>
      <c r="P54" s="18">
        <f t="shared" si="20"/>
        <v>0</v>
      </c>
      <c r="Q54" s="18">
        <f t="shared" si="21"/>
        <v>0</v>
      </c>
      <c r="R54" s="18">
        <f t="shared" si="22"/>
        <v>0</v>
      </c>
      <c r="S54" s="18"/>
      <c r="T54" s="18">
        <f t="shared" si="23"/>
        <v>0</v>
      </c>
      <c r="U54" s="18">
        <f t="shared" si="24"/>
        <v>0</v>
      </c>
      <c r="V54" s="18">
        <f t="shared" si="25"/>
        <v>0</v>
      </c>
      <c r="W54" s="30">
        <f t="shared" si="26"/>
        <v>0</v>
      </c>
    </row>
    <row r="55" spans="1:23" ht="21" customHeight="1">
      <c r="A55" s="25" t="s">
        <v>498</v>
      </c>
      <c r="B55" s="20">
        <f t="shared" ref="B55:W55" si="28">SUM(B40:B54)</f>
        <v>107</v>
      </c>
      <c r="C55" s="20">
        <f t="shared" si="28"/>
        <v>105</v>
      </c>
      <c r="D55" s="20">
        <f t="shared" si="28"/>
        <v>355969</v>
      </c>
      <c r="E55" s="20">
        <f t="shared" si="28"/>
        <v>4271628</v>
      </c>
      <c r="F55" s="20">
        <f t="shared" si="28"/>
        <v>211340</v>
      </c>
      <c r="G55" s="20">
        <f t="shared" si="28"/>
        <v>2536080</v>
      </c>
      <c r="H55" s="20">
        <f t="shared" si="28"/>
        <v>74</v>
      </c>
      <c r="I55" s="20">
        <f t="shared" si="28"/>
        <v>74</v>
      </c>
      <c r="J55" s="20">
        <f t="shared" si="28"/>
        <v>192870</v>
      </c>
      <c r="K55" s="20">
        <f t="shared" si="28"/>
        <v>2314440</v>
      </c>
      <c r="L55" s="20">
        <f t="shared" si="28"/>
        <v>132244</v>
      </c>
      <c r="M55" s="20">
        <f t="shared" si="28"/>
        <v>1586928</v>
      </c>
      <c r="N55" s="20">
        <f t="shared" si="28"/>
        <v>1146189</v>
      </c>
      <c r="O55" s="20">
        <f t="shared" si="28"/>
        <v>573093</v>
      </c>
      <c r="P55" s="20">
        <f t="shared" si="28"/>
        <v>329302</v>
      </c>
      <c r="Q55" s="20">
        <f t="shared" si="28"/>
        <v>34041</v>
      </c>
      <c r="R55" s="20">
        <f t="shared" si="28"/>
        <v>544616</v>
      </c>
      <c r="S55" s="20">
        <f t="shared" si="28"/>
        <v>0</v>
      </c>
      <c r="T55" s="20">
        <f t="shared" si="28"/>
        <v>68076</v>
      </c>
      <c r="U55" s="20">
        <f t="shared" si="28"/>
        <v>816925</v>
      </c>
      <c r="V55" s="20">
        <f t="shared" si="28"/>
        <v>13425</v>
      </c>
      <c r="W55" s="20">
        <f t="shared" si="28"/>
        <v>131721</v>
      </c>
    </row>
    <row r="56" spans="1:23" ht="21" customHeight="1">
      <c r="A56" s="15" t="s">
        <v>499</v>
      </c>
      <c r="B56" s="18">
        <v>206</v>
      </c>
      <c r="C56" s="18">
        <v>201</v>
      </c>
      <c r="D56" s="18">
        <v>609889</v>
      </c>
      <c r="E56" s="18">
        <f t="shared" ref="E56:E62" si="29">D56*12</f>
        <v>7318668</v>
      </c>
      <c r="F56" s="18">
        <v>388151</v>
      </c>
      <c r="G56" s="18">
        <f t="shared" ref="G56:G64" si="30">F56*12</f>
        <v>4657812</v>
      </c>
      <c r="H56" s="18">
        <v>167</v>
      </c>
      <c r="I56" s="18">
        <v>169</v>
      </c>
      <c r="J56" s="30">
        <v>360905</v>
      </c>
      <c r="K56" s="30">
        <f t="shared" ref="K56:K62" si="31">J56*12</f>
        <v>4330860</v>
      </c>
      <c r="L56" s="30">
        <v>291167</v>
      </c>
      <c r="M56" s="30">
        <f t="shared" ref="M56:M62" si="32">L56*12</f>
        <v>3494004</v>
      </c>
      <c r="N56" s="18">
        <f t="shared" ref="N56:N61" si="33">ROUND((E56+G56)*0.16+D56*0.16,0)</f>
        <v>2013819</v>
      </c>
      <c r="O56" s="18">
        <f t="shared" ref="O56:O61" si="34">ROUND((E56+G56)*0.08+D56*0.08,0)</f>
        <v>1006910</v>
      </c>
      <c r="P56" s="18">
        <f t="shared" ref="P56:P61" si="35">ROUND((E56+K56)*0.05,0)</f>
        <v>582476</v>
      </c>
      <c r="Q56" s="18">
        <f t="shared" ref="Q56:Q61" si="36">ROUND((E56+G56)*0.005,0)</f>
        <v>59882</v>
      </c>
      <c r="R56" s="18">
        <f t="shared" ref="R56:R61" si="37">ROUND((E56+G56)*0.08,0)</f>
        <v>958118</v>
      </c>
      <c r="S56" s="18"/>
      <c r="T56" s="18">
        <f t="shared" ref="T56:T61" si="38">ROUND((E56+G56)*0.01,0)</f>
        <v>119765</v>
      </c>
      <c r="U56" s="18">
        <f t="shared" ref="U56:U61" si="39">ROUND((E56+G56)*0.12,0)</f>
        <v>1437178</v>
      </c>
      <c r="V56" s="18">
        <f t="shared" ref="V56:V64" si="40">ROUND((C56+I56)*75,0)</f>
        <v>27750</v>
      </c>
      <c r="W56" s="30">
        <f t="shared" ref="W56:W61" si="41">ROUND((E56+K56)*0.02,0)</f>
        <v>232991</v>
      </c>
    </row>
    <row r="57" spans="1:23" ht="21" customHeight="1">
      <c r="A57" s="15" t="s">
        <v>500</v>
      </c>
      <c r="B57" s="18">
        <v>11</v>
      </c>
      <c r="C57" s="18">
        <v>11</v>
      </c>
      <c r="D57" s="18">
        <v>37371</v>
      </c>
      <c r="E57" s="18">
        <f t="shared" si="29"/>
        <v>448452</v>
      </c>
      <c r="F57" s="18">
        <v>22780</v>
      </c>
      <c r="G57" s="18">
        <f t="shared" si="30"/>
        <v>273360</v>
      </c>
      <c r="H57" s="18">
        <v>10</v>
      </c>
      <c r="I57" s="18">
        <v>10</v>
      </c>
      <c r="J57" s="30">
        <v>25328</v>
      </c>
      <c r="K57" s="30">
        <f t="shared" si="31"/>
        <v>303936</v>
      </c>
      <c r="L57" s="30">
        <v>19014</v>
      </c>
      <c r="M57" s="30">
        <f t="shared" si="32"/>
        <v>228168</v>
      </c>
      <c r="N57" s="18">
        <f t="shared" si="33"/>
        <v>121469</v>
      </c>
      <c r="O57" s="18">
        <f t="shared" si="34"/>
        <v>60735</v>
      </c>
      <c r="P57" s="18">
        <f t="shared" si="35"/>
        <v>37619</v>
      </c>
      <c r="Q57" s="18">
        <f t="shared" si="36"/>
        <v>3609</v>
      </c>
      <c r="R57" s="18">
        <f t="shared" si="37"/>
        <v>57745</v>
      </c>
      <c r="S57" s="18"/>
      <c r="T57" s="18">
        <f t="shared" si="38"/>
        <v>7218</v>
      </c>
      <c r="U57" s="18">
        <f t="shared" si="39"/>
        <v>86617</v>
      </c>
      <c r="V57" s="18">
        <f t="shared" si="40"/>
        <v>1575</v>
      </c>
      <c r="W57" s="30">
        <f t="shared" si="41"/>
        <v>15048</v>
      </c>
    </row>
    <row r="58" spans="1:23" ht="21" customHeight="1">
      <c r="A58" s="15" t="s">
        <v>501</v>
      </c>
      <c r="B58" s="18">
        <v>11</v>
      </c>
      <c r="C58" s="18">
        <v>12</v>
      </c>
      <c r="D58" s="18">
        <v>42154</v>
      </c>
      <c r="E58" s="18">
        <f t="shared" si="29"/>
        <v>505848</v>
      </c>
      <c r="F58" s="18">
        <v>24990</v>
      </c>
      <c r="G58" s="18">
        <f t="shared" si="30"/>
        <v>299880</v>
      </c>
      <c r="H58" s="18">
        <v>9</v>
      </c>
      <c r="I58" s="18">
        <v>9</v>
      </c>
      <c r="J58" s="30">
        <v>23854</v>
      </c>
      <c r="K58" s="30">
        <f t="shared" si="31"/>
        <v>286248</v>
      </c>
      <c r="L58" s="30">
        <v>17197</v>
      </c>
      <c r="M58" s="30">
        <f t="shared" si="32"/>
        <v>206364</v>
      </c>
      <c r="N58" s="18">
        <f t="shared" si="33"/>
        <v>135661</v>
      </c>
      <c r="O58" s="18">
        <f t="shared" si="34"/>
        <v>67831</v>
      </c>
      <c r="P58" s="18">
        <f t="shared" si="35"/>
        <v>39605</v>
      </c>
      <c r="Q58" s="18">
        <f t="shared" si="36"/>
        <v>4029</v>
      </c>
      <c r="R58" s="18">
        <f t="shared" si="37"/>
        <v>64458</v>
      </c>
      <c r="S58" s="18"/>
      <c r="T58" s="18">
        <f t="shared" si="38"/>
        <v>8057</v>
      </c>
      <c r="U58" s="18">
        <f t="shared" si="39"/>
        <v>96687</v>
      </c>
      <c r="V58" s="18">
        <f t="shared" si="40"/>
        <v>1575</v>
      </c>
      <c r="W58" s="30">
        <f t="shared" si="41"/>
        <v>15842</v>
      </c>
    </row>
    <row r="59" spans="1:23" ht="21" customHeight="1">
      <c r="A59" s="15" t="s">
        <v>502</v>
      </c>
      <c r="B59" s="18">
        <v>5</v>
      </c>
      <c r="C59" s="18">
        <v>4</v>
      </c>
      <c r="D59" s="18">
        <v>16509</v>
      </c>
      <c r="E59" s="18">
        <f t="shared" si="29"/>
        <v>198108</v>
      </c>
      <c r="F59" s="18">
        <v>8770</v>
      </c>
      <c r="G59" s="18">
        <f t="shared" si="30"/>
        <v>105240</v>
      </c>
      <c r="H59" s="18">
        <v>10</v>
      </c>
      <c r="I59" s="18">
        <v>12</v>
      </c>
      <c r="J59" s="30">
        <v>28878</v>
      </c>
      <c r="K59" s="30">
        <f t="shared" si="31"/>
        <v>346536</v>
      </c>
      <c r="L59" s="30">
        <v>21583</v>
      </c>
      <c r="M59" s="30">
        <f t="shared" si="32"/>
        <v>258996</v>
      </c>
      <c r="N59" s="18">
        <f t="shared" si="33"/>
        <v>51177</v>
      </c>
      <c r="O59" s="18">
        <f t="shared" si="34"/>
        <v>25589</v>
      </c>
      <c r="P59" s="18">
        <f t="shared" si="35"/>
        <v>27232</v>
      </c>
      <c r="Q59" s="18">
        <f t="shared" si="36"/>
        <v>1517</v>
      </c>
      <c r="R59" s="18">
        <f t="shared" si="37"/>
        <v>24268</v>
      </c>
      <c r="S59" s="18"/>
      <c r="T59" s="18">
        <f t="shared" si="38"/>
        <v>3033</v>
      </c>
      <c r="U59" s="18">
        <f t="shared" si="39"/>
        <v>36402</v>
      </c>
      <c r="V59" s="18">
        <f t="shared" si="40"/>
        <v>1200</v>
      </c>
      <c r="W59" s="30">
        <f t="shared" si="41"/>
        <v>10893</v>
      </c>
    </row>
    <row r="60" spans="1:23" ht="21" customHeight="1">
      <c r="A60" s="15" t="s">
        <v>503</v>
      </c>
      <c r="B60" s="18">
        <v>15</v>
      </c>
      <c r="C60" s="18">
        <v>17</v>
      </c>
      <c r="D60" s="18">
        <v>62812</v>
      </c>
      <c r="E60" s="18">
        <f t="shared" si="29"/>
        <v>753744</v>
      </c>
      <c r="F60" s="18">
        <v>35635</v>
      </c>
      <c r="G60" s="18">
        <f t="shared" si="30"/>
        <v>427620</v>
      </c>
      <c r="H60" s="18">
        <v>10</v>
      </c>
      <c r="I60" s="18">
        <v>10</v>
      </c>
      <c r="J60" s="30">
        <v>23159</v>
      </c>
      <c r="K60" s="30">
        <f t="shared" si="31"/>
        <v>277908</v>
      </c>
      <c r="L60" s="30">
        <v>17956</v>
      </c>
      <c r="M60" s="30">
        <f t="shared" si="32"/>
        <v>215472</v>
      </c>
      <c r="N60" s="18">
        <f t="shared" si="33"/>
        <v>199068</v>
      </c>
      <c r="O60" s="18">
        <f t="shared" si="34"/>
        <v>99534</v>
      </c>
      <c r="P60" s="18">
        <f t="shared" si="35"/>
        <v>51583</v>
      </c>
      <c r="Q60" s="18">
        <f t="shared" si="36"/>
        <v>5907</v>
      </c>
      <c r="R60" s="18">
        <f t="shared" si="37"/>
        <v>94509</v>
      </c>
      <c r="S60" s="18"/>
      <c r="T60" s="18">
        <f t="shared" si="38"/>
        <v>11814</v>
      </c>
      <c r="U60" s="18">
        <f t="shared" si="39"/>
        <v>141764</v>
      </c>
      <c r="V60" s="18">
        <f t="shared" si="40"/>
        <v>2025</v>
      </c>
      <c r="W60" s="30">
        <f t="shared" si="41"/>
        <v>20633</v>
      </c>
    </row>
    <row r="61" spans="1:23" ht="21" customHeight="1">
      <c r="A61" s="15" t="s">
        <v>504</v>
      </c>
      <c r="B61" s="18">
        <v>10</v>
      </c>
      <c r="C61" s="18">
        <v>9</v>
      </c>
      <c r="D61" s="18">
        <v>29339</v>
      </c>
      <c r="E61" s="18">
        <f t="shared" si="29"/>
        <v>352068</v>
      </c>
      <c r="F61" s="18">
        <v>18350</v>
      </c>
      <c r="G61" s="18">
        <f t="shared" si="30"/>
        <v>220200</v>
      </c>
      <c r="H61" s="18">
        <v>5</v>
      </c>
      <c r="I61" s="18">
        <v>6</v>
      </c>
      <c r="J61" s="30">
        <v>15217</v>
      </c>
      <c r="K61" s="30">
        <f t="shared" si="31"/>
        <v>182604</v>
      </c>
      <c r="L61" s="30">
        <v>11525</v>
      </c>
      <c r="M61" s="30">
        <f t="shared" si="32"/>
        <v>138300</v>
      </c>
      <c r="N61" s="18">
        <f t="shared" si="33"/>
        <v>96257</v>
      </c>
      <c r="O61" s="18">
        <f t="shared" si="34"/>
        <v>48129</v>
      </c>
      <c r="P61" s="18">
        <f t="shared" si="35"/>
        <v>26734</v>
      </c>
      <c r="Q61" s="18">
        <f t="shared" si="36"/>
        <v>2861</v>
      </c>
      <c r="R61" s="18">
        <f t="shared" si="37"/>
        <v>45781</v>
      </c>
      <c r="S61" s="18"/>
      <c r="T61" s="18">
        <f t="shared" si="38"/>
        <v>5723</v>
      </c>
      <c r="U61" s="18">
        <f t="shared" si="39"/>
        <v>68672</v>
      </c>
      <c r="V61" s="18">
        <f t="shared" si="40"/>
        <v>1125</v>
      </c>
      <c r="W61" s="30">
        <f t="shared" si="41"/>
        <v>10693</v>
      </c>
    </row>
    <row r="62" spans="1:23" ht="21" customHeight="1">
      <c r="A62" s="15" t="s">
        <v>505</v>
      </c>
      <c r="B62" s="18">
        <v>5</v>
      </c>
      <c r="C62" s="18">
        <v>5</v>
      </c>
      <c r="D62" s="18">
        <v>14836</v>
      </c>
      <c r="E62" s="18">
        <f t="shared" si="29"/>
        <v>178032</v>
      </c>
      <c r="F62" s="18">
        <v>9500</v>
      </c>
      <c r="G62" s="18">
        <f t="shared" si="30"/>
        <v>114000</v>
      </c>
      <c r="H62" s="18"/>
      <c r="I62" s="18"/>
      <c r="J62" s="30"/>
      <c r="K62" s="30">
        <f t="shared" si="31"/>
        <v>0</v>
      </c>
      <c r="L62" s="30"/>
      <c r="M62" s="30">
        <f t="shared" si="32"/>
        <v>0</v>
      </c>
      <c r="N62" s="18">
        <f>ROUND((E63+G62)*0.16+D62*0.16,0)</f>
        <v>49099</v>
      </c>
      <c r="O62" s="18">
        <f>ROUND((E63+G62)*0.08+D62*0.08,0)</f>
        <v>24549</v>
      </c>
      <c r="P62" s="18">
        <f>ROUND((E63+K62)*0.05,0)</f>
        <v>8902</v>
      </c>
      <c r="Q62" s="18">
        <f>ROUND((E63+G62)*0.005,0)</f>
        <v>1460</v>
      </c>
      <c r="R62" s="18">
        <f>ROUND((E63+G62)*0.08,0)</f>
        <v>23363</v>
      </c>
      <c r="S62" s="18"/>
      <c r="T62" s="18">
        <f>ROUND((E63+G62)*0.01,0)</f>
        <v>2920</v>
      </c>
      <c r="U62" s="18">
        <f>ROUND((E63+G62)*0.12,0)</f>
        <v>35044</v>
      </c>
      <c r="V62" s="18">
        <f t="shared" si="40"/>
        <v>375</v>
      </c>
      <c r="W62" s="30">
        <f>ROUND((E63+K62)*0.02,0)</f>
        <v>3561</v>
      </c>
    </row>
    <row r="63" spans="1:23" ht="21" customHeight="1">
      <c r="A63" s="15" t="s">
        <v>506</v>
      </c>
      <c r="B63" s="18"/>
      <c r="C63" s="18">
        <v>28</v>
      </c>
      <c r="D63" s="18">
        <v>75655</v>
      </c>
      <c r="E63" s="18">
        <f>D62*12</f>
        <v>178032</v>
      </c>
      <c r="F63" s="18">
        <v>52130</v>
      </c>
      <c r="G63" s="18">
        <f t="shared" si="30"/>
        <v>625560</v>
      </c>
      <c r="H63" s="18"/>
      <c r="I63" s="18"/>
      <c r="J63" s="30"/>
      <c r="K63" s="30"/>
      <c r="L63" s="30"/>
      <c r="M63" s="30"/>
      <c r="N63" s="18">
        <f>ROUND((E64+G63)*0.16+D63*0.16,0)</f>
        <v>168059</v>
      </c>
      <c r="O63" s="18">
        <f>ROUND((E64+G63)*0.08+D63*0.08,0)</f>
        <v>84029</v>
      </c>
      <c r="P63" s="18">
        <f>ROUND((E64+K63)*0.05,0)</f>
        <v>17458</v>
      </c>
      <c r="Q63" s="18">
        <f>ROUND((E64+G63)*0.005,0)</f>
        <v>4874</v>
      </c>
      <c r="R63" s="18">
        <f>ROUND((E64+G63)*0.08,0)</f>
        <v>77977</v>
      </c>
      <c r="S63" s="18"/>
      <c r="T63" s="18">
        <f>ROUND((E64+G63)*0.01,0)</f>
        <v>9747</v>
      </c>
      <c r="U63" s="18">
        <f>ROUND((E64+G63)*0.12,0)</f>
        <v>116965</v>
      </c>
      <c r="V63" s="18">
        <f t="shared" si="40"/>
        <v>2100</v>
      </c>
      <c r="W63" s="30">
        <f>ROUND((E64+K63)*0.02,0)</f>
        <v>6983</v>
      </c>
    </row>
    <row r="64" spans="1:23" s="1" customFormat="1" ht="21" customHeight="1">
      <c r="A64" s="15" t="s">
        <v>507</v>
      </c>
      <c r="B64" s="18">
        <v>10</v>
      </c>
      <c r="C64" s="18">
        <v>9</v>
      </c>
      <c r="D64" s="18">
        <v>29096</v>
      </c>
      <c r="E64" s="18">
        <f>D64*12</f>
        <v>349152</v>
      </c>
      <c r="F64" s="18">
        <v>18320</v>
      </c>
      <c r="G64" s="18">
        <f t="shared" si="30"/>
        <v>219840</v>
      </c>
      <c r="H64" s="18">
        <v>4</v>
      </c>
      <c r="I64" s="18">
        <v>4</v>
      </c>
      <c r="J64" s="30">
        <v>10699</v>
      </c>
      <c r="K64" s="30">
        <f>J64*12</f>
        <v>128388</v>
      </c>
      <c r="L64" s="30">
        <v>7442</v>
      </c>
      <c r="M64" s="30">
        <f>L64*12</f>
        <v>89304</v>
      </c>
      <c r="N64" s="18">
        <f>ROUND((E64+G64)*0.16+D64*0.16,0)</f>
        <v>95694</v>
      </c>
      <c r="O64" s="18">
        <f>ROUND((E64+G64)*0.08+D64*0.08,0)</f>
        <v>47847</v>
      </c>
      <c r="P64" s="18">
        <f>ROUND((E64+K64)*0.05,0)</f>
        <v>23877</v>
      </c>
      <c r="Q64" s="18">
        <f>ROUND((E64+G64)*0.005,0)</f>
        <v>2845</v>
      </c>
      <c r="R64" s="18">
        <f>ROUND((E64+G64)*0.08,0)</f>
        <v>45519</v>
      </c>
      <c r="S64" s="18"/>
      <c r="T64" s="18">
        <f>ROUND((E64+G64)*0.01,0)</f>
        <v>5690</v>
      </c>
      <c r="U64" s="18">
        <f>ROUND((E64+G64)*0.12,0)</f>
        <v>68279</v>
      </c>
      <c r="V64" s="18">
        <f t="shared" si="40"/>
        <v>975</v>
      </c>
      <c r="W64" s="30">
        <f>ROUND((E64+K64)*0.02,0)</f>
        <v>9551</v>
      </c>
    </row>
    <row r="65" spans="1:29" ht="21" customHeight="1">
      <c r="A65" s="25" t="s">
        <v>508</v>
      </c>
      <c r="B65" s="27">
        <f t="shared" ref="B65:W65" si="42">SUM(B56:B64)</f>
        <v>273</v>
      </c>
      <c r="C65" s="27">
        <f t="shared" si="42"/>
        <v>296</v>
      </c>
      <c r="D65" s="27">
        <f t="shared" si="42"/>
        <v>917661</v>
      </c>
      <c r="E65" s="27">
        <f t="shared" si="42"/>
        <v>10282104</v>
      </c>
      <c r="F65" s="27">
        <f t="shared" si="42"/>
        <v>578626</v>
      </c>
      <c r="G65" s="27">
        <f t="shared" si="42"/>
        <v>6943512</v>
      </c>
      <c r="H65" s="27">
        <f t="shared" si="42"/>
        <v>215</v>
      </c>
      <c r="I65" s="27">
        <f t="shared" si="42"/>
        <v>220</v>
      </c>
      <c r="J65" s="27">
        <f t="shared" si="42"/>
        <v>488040</v>
      </c>
      <c r="K65" s="27">
        <f t="shared" si="42"/>
        <v>5856480</v>
      </c>
      <c r="L65" s="27">
        <f t="shared" si="42"/>
        <v>385884</v>
      </c>
      <c r="M65" s="27">
        <f t="shared" si="42"/>
        <v>4630608</v>
      </c>
      <c r="N65" s="27">
        <f t="shared" si="42"/>
        <v>2930303</v>
      </c>
      <c r="O65" s="27">
        <f t="shared" si="42"/>
        <v>1465153</v>
      </c>
      <c r="P65" s="27">
        <f t="shared" si="42"/>
        <v>815486</v>
      </c>
      <c r="Q65" s="27">
        <f t="shared" si="42"/>
        <v>86984</v>
      </c>
      <c r="R65" s="27">
        <f t="shared" si="42"/>
        <v>1391738</v>
      </c>
      <c r="S65" s="27">
        <f t="shared" si="42"/>
        <v>0</v>
      </c>
      <c r="T65" s="27">
        <f t="shared" si="42"/>
        <v>173967</v>
      </c>
      <c r="U65" s="27">
        <f t="shared" si="42"/>
        <v>2087608</v>
      </c>
      <c r="V65" s="27">
        <f t="shared" si="42"/>
        <v>38700</v>
      </c>
      <c r="W65" s="27">
        <f t="shared" si="42"/>
        <v>326195</v>
      </c>
    </row>
    <row r="66" spans="1:29" ht="21" customHeight="1">
      <c r="A66" s="15" t="s">
        <v>509</v>
      </c>
      <c r="B66" s="18">
        <v>34</v>
      </c>
      <c r="C66" s="18">
        <v>43</v>
      </c>
      <c r="D66" s="18">
        <v>154705</v>
      </c>
      <c r="E66" s="18">
        <f>D66*12</f>
        <v>1856460</v>
      </c>
      <c r="F66" s="18">
        <v>89270</v>
      </c>
      <c r="G66" s="18">
        <f>F66*12</f>
        <v>1071240</v>
      </c>
      <c r="H66" s="18">
        <v>19</v>
      </c>
      <c r="I66" s="18">
        <v>39</v>
      </c>
      <c r="J66" s="30">
        <v>105865</v>
      </c>
      <c r="K66" s="30">
        <f>J66*12</f>
        <v>1270380</v>
      </c>
      <c r="L66" s="18">
        <v>73161</v>
      </c>
      <c r="M66" s="30">
        <f>L66*12</f>
        <v>877932</v>
      </c>
      <c r="N66" s="18">
        <f>ROUND((E66+G66)*0.16+D66*0.16,0)</f>
        <v>493185</v>
      </c>
      <c r="O66" s="18">
        <f>ROUND((E66+G66)*0.08+D66*0.08,0)</f>
        <v>246592</v>
      </c>
      <c r="P66" s="18">
        <f>ROUND((E66+K66)*0.05,0)</f>
        <v>156342</v>
      </c>
      <c r="Q66" s="18">
        <f>ROUND((E66+G66)*0.005,0)</f>
        <v>14639</v>
      </c>
      <c r="R66" s="18">
        <f>ROUND((E66+G66)*0.08,0)</f>
        <v>234216</v>
      </c>
      <c r="S66" s="18"/>
      <c r="T66" s="18">
        <f>ROUND((E66+G66)*0.01,0)</f>
        <v>29277</v>
      </c>
      <c r="U66" s="18">
        <f>ROUND((E66+G66)*0.12,0)</f>
        <v>351324</v>
      </c>
      <c r="V66" s="18">
        <f>ROUND((C66+I66)*75,0)</f>
        <v>6150</v>
      </c>
      <c r="W66" s="30">
        <f>ROUND((E66+K66)*0.02,0)</f>
        <v>62537</v>
      </c>
      <c r="X66" s="54"/>
      <c r="Y66" s="54"/>
      <c r="Z66" s="54"/>
      <c r="AA66" s="54"/>
      <c r="AB66" s="54"/>
      <c r="AC66" s="54"/>
    </row>
    <row r="67" spans="1:29" ht="21" customHeight="1">
      <c r="A67" s="15" t="s">
        <v>413</v>
      </c>
      <c r="B67" s="18">
        <v>10</v>
      </c>
      <c r="C67" s="18">
        <v>12</v>
      </c>
      <c r="D67" s="18">
        <v>41486</v>
      </c>
      <c r="E67" s="18">
        <f>D67*12</f>
        <v>497832</v>
      </c>
      <c r="F67" s="18">
        <v>24730</v>
      </c>
      <c r="G67" s="18">
        <f>F67*12</f>
        <v>296760</v>
      </c>
      <c r="H67" s="18">
        <v>9</v>
      </c>
      <c r="I67" s="18">
        <v>8</v>
      </c>
      <c r="J67" s="30">
        <v>22466</v>
      </c>
      <c r="K67" s="30">
        <f>J67*12</f>
        <v>269592</v>
      </c>
      <c r="L67" s="18">
        <v>14670</v>
      </c>
      <c r="M67" s="30">
        <f>L67*12</f>
        <v>176040</v>
      </c>
      <c r="N67" s="18">
        <f>ROUND((E67+G67)*0.16+D67*0.16,0)</f>
        <v>133772</v>
      </c>
      <c r="O67" s="18">
        <f>ROUND((E67+G67)*0.08+D67*0.08,0)</f>
        <v>66886</v>
      </c>
      <c r="P67" s="18">
        <f>ROUND((E67+K67)*0.05,0)</f>
        <v>38371</v>
      </c>
      <c r="Q67" s="18">
        <f>ROUND((E67+G67)*0.005,0)</f>
        <v>3973</v>
      </c>
      <c r="R67" s="18">
        <f>ROUND((E67+G67)*0.08,0)</f>
        <v>63567</v>
      </c>
      <c r="S67" s="18"/>
      <c r="T67" s="18">
        <f>ROUND((E67+G67)*0.01,0)</f>
        <v>7946</v>
      </c>
      <c r="U67" s="18">
        <f>ROUND((E67+G67)*0.12,0)</f>
        <v>95351</v>
      </c>
      <c r="V67" s="18">
        <f>ROUND((C67+I67)*75,0)</f>
        <v>1500</v>
      </c>
      <c r="W67" s="30">
        <f>ROUND((E67+K67)*0.02,0)</f>
        <v>15348</v>
      </c>
    </row>
    <row r="68" spans="1:29" ht="21" customHeight="1">
      <c r="A68" s="15" t="s">
        <v>510</v>
      </c>
      <c r="B68" s="18">
        <v>7</v>
      </c>
      <c r="C68" s="18">
        <v>7</v>
      </c>
      <c r="D68" s="18">
        <v>20547</v>
      </c>
      <c r="E68" s="18">
        <f>D68*12</f>
        <v>246564</v>
      </c>
      <c r="F68" s="18">
        <v>13785</v>
      </c>
      <c r="G68" s="18">
        <f>F68*12</f>
        <v>165420</v>
      </c>
      <c r="H68" s="33"/>
      <c r="I68" s="33"/>
      <c r="J68" s="30"/>
      <c r="K68" s="30">
        <f>J68*12</f>
        <v>0</v>
      </c>
      <c r="L68" s="18"/>
      <c r="M68" s="30">
        <f>L68*12</f>
        <v>0</v>
      </c>
      <c r="N68" s="18">
        <f>ROUND((E68+G68)*0.16+D68*0.16,0)</f>
        <v>69205</v>
      </c>
      <c r="O68" s="18">
        <f>ROUND((E68+G68)*0.08+D68*0.08,0)</f>
        <v>34602</v>
      </c>
      <c r="P68" s="18">
        <f>ROUND((E68+K68)*0.05,0)</f>
        <v>12328</v>
      </c>
      <c r="Q68" s="18">
        <f>ROUND((E68+G68)*0.005,0)</f>
        <v>2060</v>
      </c>
      <c r="R68" s="18">
        <f>ROUND((E68+G68)*0.08,0)</f>
        <v>32959</v>
      </c>
      <c r="S68" s="18"/>
      <c r="T68" s="18">
        <f>ROUND((E68+G68)*0.01,0)</f>
        <v>4120</v>
      </c>
      <c r="U68" s="18">
        <f>ROUND((E68+G68)*0.12,0)</f>
        <v>49438</v>
      </c>
      <c r="V68" s="18">
        <f>ROUND((C68+I68)*75,0)</f>
        <v>525</v>
      </c>
      <c r="W68" s="30">
        <f>ROUND((E68+K68)*0.02,0)</f>
        <v>4931</v>
      </c>
    </row>
    <row r="69" spans="1:29" ht="21" customHeight="1">
      <c r="A69" s="25" t="s">
        <v>511</v>
      </c>
      <c r="B69" s="20">
        <f t="shared" ref="B69:W69" si="43">SUM(B66:B68)</f>
        <v>51</v>
      </c>
      <c r="C69" s="20">
        <f t="shared" si="43"/>
        <v>62</v>
      </c>
      <c r="D69" s="20">
        <f t="shared" si="43"/>
        <v>216738</v>
      </c>
      <c r="E69" s="20">
        <f t="shared" si="43"/>
        <v>2600856</v>
      </c>
      <c r="F69" s="20">
        <f t="shared" si="43"/>
        <v>127785</v>
      </c>
      <c r="G69" s="20">
        <f t="shared" si="43"/>
        <v>1533420</v>
      </c>
      <c r="H69" s="20">
        <f t="shared" si="43"/>
        <v>28</v>
      </c>
      <c r="I69" s="20">
        <f t="shared" si="43"/>
        <v>47</v>
      </c>
      <c r="J69" s="20">
        <f t="shared" si="43"/>
        <v>128331</v>
      </c>
      <c r="K69" s="20">
        <f t="shared" si="43"/>
        <v>1539972</v>
      </c>
      <c r="L69" s="20">
        <f t="shared" si="43"/>
        <v>87831</v>
      </c>
      <c r="M69" s="20">
        <f t="shared" si="43"/>
        <v>1053972</v>
      </c>
      <c r="N69" s="20">
        <f t="shared" si="43"/>
        <v>696162</v>
      </c>
      <c r="O69" s="20">
        <f t="shared" si="43"/>
        <v>348080</v>
      </c>
      <c r="P69" s="20">
        <f t="shared" si="43"/>
        <v>207041</v>
      </c>
      <c r="Q69" s="20">
        <f t="shared" si="43"/>
        <v>20672</v>
      </c>
      <c r="R69" s="20">
        <f t="shared" si="43"/>
        <v>330742</v>
      </c>
      <c r="S69" s="20">
        <f t="shared" si="43"/>
        <v>0</v>
      </c>
      <c r="T69" s="20">
        <f t="shared" si="43"/>
        <v>41343</v>
      </c>
      <c r="U69" s="20">
        <f t="shared" si="43"/>
        <v>496113</v>
      </c>
      <c r="V69" s="20">
        <f t="shared" si="43"/>
        <v>8175</v>
      </c>
      <c r="W69" s="20">
        <f t="shared" si="43"/>
        <v>82816</v>
      </c>
    </row>
    <row r="70" spans="1:29" ht="21" customHeight="1">
      <c r="A70" s="34" t="s">
        <v>512</v>
      </c>
      <c r="B70" s="20">
        <f t="shared" ref="B70:W70" si="44">B34+B38+B55+B65+B69</f>
        <v>817</v>
      </c>
      <c r="C70" s="20">
        <f t="shared" si="44"/>
        <v>912</v>
      </c>
      <c r="D70" s="20">
        <f t="shared" si="44"/>
        <v>3064468</v>
      </c>
      <c r="E70" s="20">
        <f t="shared" si="44"/>
        <v>36043788</v>
      </c>
      <c r="F70" s="20">
        <f t="shared" si="44"/>
        <v>1845526</v>
      </c>
      <c r="G70" s="20">
        <f t="shared" si="44"/>
        <v>22146312</v>
      </c>
      <c r="H70" s="20">
        <f t="shared" si="44"/>
        <v>595</v>
      </c>
      <c r="I70" s="20">
        <f t="shared" si="44"/>
        <v>637</v>
      </c>
      <c r="J70" s="20">
        <f t="shared" si="44"/>
        <v>1617529.61</v>
      </c>
      <c r="K70" s="20">
        <f t="shared" si="44"/>
        <v>19410355.32</v>
      </c>
      <c r="L70" s="20">
        <f t="shared" si="44"/>
        <v>1168905</v>
      </c>
      <c r="M70" s="20">
        <f t="shared" si="44"/>
        <v>14026860</v>
      </c>
      <c r="N70" s="20">
        <f t="shared" si="44"/>
        <v>9828110</v>
      </c>
      <c r="O70" s="20">
        <f t="shared" si="44"/>
        <v>4914051</v>
      </c>
      <c r="P70" s="20">
        <f t="shared" si="44"/>
        <v>2781264</v>
      </c>
      <c r="Q70" s="20">
        <f t="shared" si="44"/>
        <v>291812</v>
      </c>
      <c r="R70" s="20">
        <f t="shared" si="44"/>
        <v>4668894</v>
      </c>
      <c r="S70" s="20">
        <f t="shared" si="44"/>
        <v>0</v>
      </c>
      <c r="T70" s="20">
        <f t="shared" si="44"/>
        <v>583615</v>
      </c>
      <c r="U70" s="20">
        <f t="shared" si="44"/>
        <v>7003345</v>
      </c>
      <c r="V70" s="20">
        <f t="shared" si="44"/>
        <v>116175</v>
      </c>
      <c r="W70" s="20">
        <f t="shared" si="44"/>
        <v>1112502</v>
      </c>
    </row>
    <row r="71" spans="1:29" s="2" customFormat="1" ht="21" customHeight="1">
      <c r="A71" s="35" t="s">
        <v>513</v>
      </c>
      <c r="B71" s="36">
        <v>53</v>
      </c>
      <c r="C71" s="36">
        <v>52</v>
      </c>
      <c r="D71" s="18">
        <v>137775</v>
      </c>
      <c r="E71" s="18">
        <f t="shared" ref="E71:E84" si="45">D71*12</f>
        <v>1653300</v>
      </c>
      <c r="F71" s="18">
        <v>98050</v>
      </c>
      <c r="G71" s="18">
        <f t="shared" ref="G71:G84" si="46">F71*12</f>
        <v>1176600</v>
      </c>
      <c r="H71" s="37">
        <v>16</v>
      </c>
      <c r="I71" s="37">
        <v>16</v>
      </c>
      <c r="J71" s="18">
        <v>37541</v>
      </c>
      <c r="K71" s="18">
        <f t="shared" ref="K71:K84" si="47">J71*12</f>
        <v>450492</v>
      </c>
      <c r="L71" s="36">
        <v>28576</v>
      </c>
      <c r="M71" s="18">
        <f t="shared" ref="M71:M84" si="48">L71*12</f>
        <v>342912</v>
      </c>
      <c r="N71" s="18">
        <f t="shared" ref="N71:N84" si="49">ROUND((E71+G71)*0.16+D71*0.16,0)</f>
        <v>474828</v>
      </c>
      <c r="O71" s="18">
        <f t="shared" ref="O71:O84" si="50">ROUND((E71+G71)*0.08+D71*0.08,0)</f>
        <v>237414</v>
      </c>
      <c r="P71" s="18">
        <f t="shared" ref="P71:P84" si="51">ROUND((E71+K71)*0.05,0)</f>
        <v>105190</v>
      </c>
      <c r="Q71" s="18">
        <f t="shared" ref="Q71:Q84" si="52">ROUND((E71+G71)*0.005,0)</f>
        <v>14150</v>
      </c>
      <c r="R71" s="18">
        <f>ROUND((E71+G71)*0.08+(K71+M71)*0.08,0)</f>
        <v>289864</v>
      </c>
      <c r="S71" s="18"/>
      <c r="T71" s="18">
        <f t="shared" ref="T71:T84" si="53">ROUND((E71+G71)*0.01,0)</f>
        <v>28299</v>
      </c>
      <c r="U71" s="18">
        <f t="shared" ref="U71:U84" si="54">ROUND((E71+G71)*0.12,0)</f>
        <v>339588</v>
      </c>
      <c r="V71" s="18">
        <f t="shared" ref="V71:V84" si="55">ROUND((C71+I71)*75,0)</f>
        <v>5100</v>
      </c>
      <c r="W71" s="30">
        <f t="shared" ref="W71:W84" si="56">ROUND((E71+K71)*0.02,0)</f>
        <v>42076</v>
      </c>
    </row>
    <row r="72" spans="1:29" s="2" customFormat="1" ht="21" customHeight="1">
      <c r="A72" s="35" t="s">
        <v>514</v>
      </c>
      <c r="B72" s="36">
        <v>57</v>
      </c>
      <c r="C72" s="36">
        <v>59</v>
      </c>
      <c r="D72" s="18">
        <v>155978</v>
      </c>
      <c r="E72" s="18">
        <f t="shared" si="45"/>
        <v>1871736</v>
      </c>
      <c r="F72" s="18">
        <v>111170</v>
      </c>
      <c r="G72" s="18">
        <f t="shared" si="46"/>
        <v>1334040</v>
      </c>
      <c r="H72" s="37">
        <v>4</v>
      </c>
      <c r="I72" s="37">
        <v>4</v>
      </c>
      <c r="J72" s="18">
        <v>9927</v>
      </c>
      <c r="K72" s="18">
        <f t="shared" si="47"/>
        <v>119124</v>
      </c>
      <c r="L72" s="36">
        <v>7228</v>
      </c>
      <c r="M72" s="18">
        <f t="shared" si="48"/>
        <v>86736</v>
      </c>
      <c r="N72" s="18">
        <f t="shared" si="49"/>
        <v>537881</v>
      </c>
      <c r="O72" s="18">
        <f t="shared" si="50"/>
        <v>268940</v>
      </c>
      <c r="P72" s="18">
        <f t="shared" si="51"/>
        <v>99543</v>
      </c>
      <c r="Q72" s="18">
        <f t="shared" si="52"/>
        <v>16029</v>
      </c>
      <c r="R72" s="18">
        <f t="shared" ref="R72:R84" si="57">ROUND((E72+G72)*0.08+(K72+M72)*0.08,0)</f>
        <v>272931</v>
      </c>
      <c r="S72" s="18"/>
      <c r="T72" s="18">
        <f t="shared" si="53"/>
        <v>32058</v>
      </c>
      <c r="U72" s="18">
        <f t="shared" si="54"/>
        <v>384693</v>
      </c>
      <c r="V72" s="18">
        <f t="shared" si="55"/>
        <v>4725</v>
      </c>
      <c r="W72" s="30">
        <f t="shared" si="56"/>
        <v>39817</v>
      </c>
    </row>
    <row r="73" spans="1:29" s="2" customFormat="1" ht="21" customHeight="1">
      <c r="A73" s="35" t="s">
        <v>515</v>
      </c>
      <c r="B73" s="36">
        <v>54</v>
      </c>
      <c r="C73" s="36">
        <v>54</v>
      </c>
      <c r="D73" s="18">
        <v>146465</v>
      </c>
      <c r="E73" s="18">
        <f t="shared" si="45"/>
        <v>1757580</v>
      </c>
      <c r="F73" s="18">
        <v>102170</v>
      </c>
      <c r="G73" s="18">
        <f t="shared" si="46"/>
        <v>1226040</v>
      </c>
      <c r="H73" s="37">
        <v>11</v>
      </c>
      <c r="I73" s="37">
        <v>11</v>
      </c>
      <c r="J73" s="18">
        <v>26443</v>
      </c>
      <c r="K73" s="18">
        <f t="shared" si="47"/>
        <v>317316</v>
      </c>
      <c r="L73" s="36">
        <v>19725</v>
      </c>
      <c r="M73" s="18">
        <f t="shared" si="48"/>
        <v>236700</v>
      </c>
      <c r="N73" s="18">
        <f t="shared" si="49"/>
        <v>500814</v>
      </c>
      <c r="O73" s="18">
        <f t="shared" si="50"/>
        <v>250407</v>
      </c>
      <c r="P73" s="18">
        <f t="shared" si="51"/>
        <v>103745</v>
      </c>
      <c r="Q73" s="18">
        <f t="shared" si="52"/>
        <v>14918</v>
      </c>
      <c r="R73" s="18">
        <f t="shared" si="57"/>
        <v>283011</v>
      </c>
      <c r="S73" s="18"/>
      <c r="T73" s="18">
        <f t="shared" si="53"/>
        <v>29836</v>
      </c>
      <c r="U73" s="18">
        <f t="shared" si="54"/>
        <v>358034</v>
      </c>
      <c r="V73" s="18">
        <f t="shared" si="55"/>
        <v>4875</v>
      </c>
      <c r="W73" s="30">
        <f t="shared" si="56"/>
        <v>41498</v>
      </c>
    </row>
    <row r="74" spans="1:29" s="2" customFormat="1" ht="21" customHeight="1">
      <c r="A74" s="35" t="s">
        <v>516</v>
      </c>
      <c r="B74" s="36">
        <v>65</v>
      </c>
      <c r="C74" s="36">
        <v>66</v>
      </c>
      <c r="D74" s="18">
        <v>173806</v>
      </c>
      <c r="E74" s="18">
        <f t="shared" si="45"/>
        <v>2085672</v>
      </c>
      <c r="F74" s="18">
        <v>123695</v>
      </c>
      <c r="G74" s="18">
        <f t="shared" si="46"/>
        <v>1484340</v>
      </c>
      <c r="H74" s="37">
        <v>22</v>
      </c>
      <c r="I74" s="37">
        <v>20</v>
      </c>
      <c r="J74" s="18">
        <v>45815</v>
      </c>
      <c r="K74" s="18">
        <f t="shared" si="47"/>
        <v>549780</v>
      </c>
      <c r="L74" s="36">
        <v>34244</v>
      </c>
      <c r="M74" s="18">
        <f t="shared" si="48"/>
        <v>410928</v>
      </c>
      <c r="N74" s="18">
        <f t="shared" si="49"/>
        <v>599011</v>
      </c>
      <c r="O74" s="18">
        <f t="shared" si="50"/>
        <v>299505</v>
      </c>
      <c r="P74" s="18">
        <f t="shared" si="51"/>
        <v>131773</v>
      </c>
      <c r="Q74" s="18">
        <f t="shared" si="52"/>
        <v>17850</v>
      </c>
      <c r="R74" s="18">
        <f t="shared" si="57"/>
        <v>362458</v>
      </c>
      <c r="S74" s="18"/>
      <c r="T74" s="18">
        <f t="shared" si="53"/>
        <v>35700</v>
      </c>
      <c r="U74" s="18">
        <f t="shared" si="54"/>
        <v>428401</v>
      </c>
      <c r="V74" s="18">
        <f t="shared" si="55"/>
        <v>6450</v>
      </c>
      <c r="W74" s="30">
        <f t="shared" si="56"/>
        <v>52709</v>
      </c>
    </row>
    <row r="75" spans="1:29" s="2" customFormat="1" ht="21" customHeight="1">
      <c r="A75" s="35" t="s">
        <v>517</v>
      </c>
      <c r="B75" s="36">
        <v>67</v>
      </c>
      <c r="C75" s="36">
        <v>75</v>
      </c>
      <c r="D75" s="18">
        <v>193664</v>
      </c>
      <c r="E75" s="18">
        <f t="shared" si="45"/>
        <v>2323968</v>
      </c>
      <c r="F75" s="18">
        <v>140875</v>
      </c>
      <c r="G75" s="18">
        <f t="shared" si="46"/>
        <v>1690500</v>
      </c>
      <c r="H75" s="37">
        <v>29</v>
      </c>
      <c r="I75" s="37">
        <v>28</v>
      </c>
      <c r="J75" s="18">
        <v>66709</v>
      </c>
      <c r="K75" s="18">
        <f t="shared" si="47"/>
        <v>800508</v>
      </c>
      <c r="L75" s="36">
        <v>49360</v>
      </c>
      <c r="M75" s="18">
        <f t="shared" si="48"/>
        <v>592320</v>
      </c>
      <c r="N75" s="18">
        <f t="shared" si="49"/>
        <v>673301</v>
      </c>
      <c r="O75" s="18">
        <f t="shared" si="50"/>
        <v>336651</v>
      </c>
      <c r="P75" s="18">
        <f t="shared" si="51"/>
        <v>156224</v>
      </c>
      <c r="Q75" s="18">
        <f t="shared" si="52"/>
        <v>20072</v>
      </c>
      <c r="R75" s="18">
        <f t="shared" si="57"/>
        <v>432584</v>
      </c>
      <c r="S75" s="18"/>
      <c r="T75" s="18">
        <f t="shared" si="53"/>
        <v>40145</v>
      </c>
      <c r="U75" s="18">
        <f t="shared" si="54"/>
        <v>481736</v>
      </c>
      <c r="V75" s="18">
        <f t="shared" si="55"/>
        <v>7725</v>
      </c>
      <c r="W75" s="30">
        <f t="shared" si="56"/>
        <v>62490</v>
      </c>
    </row>
    <row r="76" spans="1:29" s="2" customFormat="1" ht="21" customHeight="1">
      <c r="A76" s="35" t="s">
        <v>518</v>
      </c>
      <c r="B76" s="36">
        <v>71</v>
      </c>
      <c r="C76" s="36">
        <v>71</v>
      </c>
      <c r="D76" s="18">
        <v>182685</v>
      </c>
      <c r="E76" s="18">
        <f t="shared" si="45"/>
        <v>2192220</v>
      </c>
      <c r="F76" s="18">
        <v>132465</v>
      </c>
      <c r="G76" s="18">
        <f t="shared" si="46"/>
        <v>1589580</v>
      </c>
      <c r="H76" s="37">
        <v>21</v>
      </c>
      <c r="I76" s="37">
        <v>20</v>
      </c>
      <c r="J76" s="18">
        <v>45709</v>
      </c>
      <c r="K76" s="18">
        <f t="shared" si="47"/>
        <v>548508</v>
      </c>
      <c r="L76" s="36">
        <v>34905</v>
      </c>
      <c r="M76" s="18">
        <f t="shared" si="48"/>
        <v>418860</v>
      </c>
      <c r="N76" s="18">
        <f t="shared" si="49"/>
        <v>634318</v>
      </c>
      <c r="O76" s="18">
        <f t="shared" si="50"/>
        <v>317159</v>
      </c>
      <c r="P76" s="18">
        <f t="shared" si="51"/>
        <v>137036</v>
      </c>
      <c r="Q76" s="18">
        <f t="shared" si="52"/>
        <v>18909</v>
      </c>
      <c r="R76" s="18">
        <f t="shared" si="57"/>
        <v>379933</v>
      </c>
      <c r="S76" s="18"/>
      <c r="T76" s="18">
        <f t="shared" si="53"/>
        <v>37818</v>
      </c>
      <c r="U76" s="18">
        <f t="shared" si="54"/>
        <v>453816</v>
      </c>
      <c r="V76" s="18">
        <f t="shared" si="55"/>
        <v>6825</v>
      </c>
      <c r="W76" s="30">
        <f t="shared" si="56"/>
        <v>54815</v>
      </c>
    </row>
    <row r="77" spans="1:29" s="2" customFormat="1" ht="21" customHeight="1">
      <c r="A77" s="35" t="s">
        <v>519</v>
      </c>
      <c r="B77" s="36">
        <v>58</v>
      </c>
      <c r="C77" s="36">
        <v>57</v>
      </c>
      <c r="D77" s="18">
        <v>150390</v>
      </c>
      <c r="E77" s="18">
        <f t="shared" si="45"/>
        <v>1804680</v>
      </c>
      <c r="F77" s="18">
        <v>106875</v>
      </c>
      <c r="G77" s="18">
        <f t="shared" si="46"/>
        <v>1282500</v>
      </c>
      <c r="H77" s="37">
        <v>20</v>
      </c>
      <c r="I77" s="37">
        <v>22</v>
      </c>
      <c r="J77" s="18">
        <v>49228</v>
      </c>
      <c r="K77" s="18">
        <f t="shared" si="47"/>
        <v>590736</v>
      </c>
      <c r="L77" s="36">
        <v>38230</v>
      </c>
      <c r="M77" s="18">
        <f t="shared" si="48"/>
        <v>458760</v>
      </c>
      <c r="N77" s="18">
        <f t="shared" si="49"/>
        <v>518011</v>
      </c>
      <c r="O77" s="18">
        <f t="shared" si="50"/>
        <v>259006</v>
      </c>
      <c r="P77" s="18">
        <f t="shared" si="51"/>
        <v>119771</v>
      </c>
      <c r="Q77" s="18">
        <f t="shared" si="52"/>
        <v>15436</v>
      </c>
      <c r="R77" s="18">
        <f t="shared" si="57"/>
        <v>330934</v>
      </c>
      <c r="S77" s="18"/>
      <c r="T77" s="18">
        <f t="shared" si="53"/>
        <v>30872</v>
      </c>
      <c r="U77" s="18">
        <f t="shared" si="54"/>
        <v>370462</v>
      </c>
      <c r="V77" s="18">
        <f t="shared" si="55"/>
        <v>5925</v>
      </c>
      <c r="W77" s="30">
        <f t="shared" si="56"/>
        <v>47908</v>
      </c>
    </row>
    <row r="78" spans="1:29" s="2" customFormat="1" ht="21" customHeight="1">
      <c r="A78" s="35" t="s">
        <v>520</v>
      </c>
      <c r="B78" s="36">
        <v>68</v>
      </c>
      <c r="C78" s="36">
        <v>69</v>
      </c>
      <c r="D78" s="18">
        <v>175561</v>
      </c>
      <c r="E78" s="18">
        <f t="shared" si="45"/>
        <v>2106732</v>
      </c>
      <c r="F78" s="18">
        <v>128910</v>
      </c>
      <c r="G78" s="18">
        <f t="shared" si="46"/>
        <v>1546920</v>
      </c>
      <c r="H78" s="37">
        <v>8</v>
      </c>
      <c r="I78" s="37">
        <v>9</v>
      </c>
      <c r="J78" s="18">
        <v>19313</v>
      </c>
      <c r="K78" s="18">
        <f t="shared" si="47"/>
        <v>231756</v>
      </c>
      <c r="L78" s="36">
        <v>15991</v>
      </c>
      <c r="M78" s="18">
        <f t="shared" si="48"/>
        <v>191892</v>
      </c>
      <c r="N78" s="18">
        <f t="shared" si="49"/>
        <v>612674</v>
      </c>
      <c r="O78" s="18">
        <f t="shared" si="50"/>
        <v>306337</v>
      </c>
      <c r="P78" s="18">
        <f t="shared" si="51"/>
        <v>116924</v>
      </c>
      <c r="Q78" s="18">
        <f t="shared" si="52"/>
        <v>18268</v>
      </c>
      <c r="R78" s="18">
        <f t="shared" si="57"/>
        <v>326184</v>
      </c>
      <c r="S78" s="18"/>
      <c r="T78" s="18">
        <f t="shared" si="53"/>
        <v>36537</v>
      </c>
      <c r="U78" s="18">
        <f t="shared" si="54"/>
        <v>438438</v>
      </c>
      <c r="V78" s="18">
        <f t="shared" si="55"/>
        <v>5850</v>
      </c>
      <c r="W78" s="30">
        <f t="shared" si="56"/>
        <v>46770</v>
      </c>
    </row>
    <row r="79" spans="1:29" s="2" customFormat="1" ht="21" customHeight="1">
      <c r="A79" s="35" t="s">
        <v>521</v>
      </c>
      <c r="B79" s="36">
        <v>57</v>
      </c>
      <c r="C79" s="36">
        <v>56</v>
      </c>
      <c r="D79" s="18">
        <v>148994</v>
      </c>
      <c r="E79" s="18">
        <f t="shared" si="45"/>
        <v>1787928</v>
      </c>
      <c r="F79" s="18">
        <v>105170</v>
      </c>
      <c r="G79" s="18">
        <f t="shared" si="46"/>
        <v>1262040</v>
      </c>
      <c r="H79" s="37">
        <v>10</v>
      </c>
      <c r="I79" s="37">
        <v>12</v>
      </c>
      <c r="J79" s="18">
        <v>24610</v>
      </c>
      <c r="K79" s="18">
        <f t="shared" si="47"/>
        <v>295320</v>
      </c>
      <c r="L79" s="36">
        <v>21234</v>
      </c>
      <c r="M79" s="18">
        <f t="shared" si="48"/>
        <v>254808</v>
      </c>
      <c r="N79" s="18">
        <f t="shared" si="49"/>
        <v>511834</v>
      </c>
      <c r="O79" s="18">
        <f t="shared" si="50"/>
        <v>255917</v>
      </c>
      <c r="P79" s="18">
        <f t="shared" si="51"/>
        <v>104162</v>
      </c>
      <c r="Q79" s="18">
        <f t="shared" si="52"/>
        <v>15250</v>
      </c>
      <c r="R79" s="18">
        <f t="shared" si="57"/>
        <v>288008</v>
      </c>
      <c r="S79" s="18"/>
      <c r="T79" s="18">
        <f t="shared" si="53"/>
        <v>30500</v>
      </c>
      <c r="U79" s="18">
        <f t="shared" si="54"/>
        <v>365996</v>
      </c>
      <c r="V79" s="18">
        <f t="shared" si="55"/>
        <v>5100</v>
      </c>
      <c r="W79" s="30">
        <f t="shared" si="56"/>
        <v>41665</v>
      </c>
    </row>
    <row r="80" spans="1:29" s="2" customFormat="1" ht="21" customHeight="1">
      <c r="A80" s="35" t="s">
        <v>522</v>
      </c>
      <c r="B80" s="36">
        <v>74</v>
      </c>
      <c r="C80" s="36">
        <v>75</v>
      </c>
      <c r="D80" s="18">
        <v>202506</v>
      </c>
      <c r="E80" s="18">
        <f t="shared" si="45"/>
        <v>2430072</v>
      </c>
      <c r="F80" s="18">
        <v>140965</v>
      </c>
      <c r="G80" s="18">
        <f t="shared" si="46"/>
        <v>1691580</v>
      </c>
      <c r="H80" s="37">
        <v>12</v>
      </c>
      <c r="I80" s="37">
        <v>12</v>
      </c>
      <c r="J80" s="18">
        <v>26802</v>
      </c>
      <c r="K80" s="18">
        <f t="shared" si="47"/>
        <v>321624</v>
      </c>
      <c r="L80" s="36">
        <v>21314</v>
      </c>
      <c r="M80" s="18">
        <f t="shared" si="48"/>
        <v>255768</v>
      </c>
      <c r="N80" s="18">
        <f t="shared" si="49"/>
        <v>691865</v>
      </c>
      <c r="O80" s="18">
        <f t="shared" si="50"/>
        <v>345933</v>
      </c>
      <c r="P80" s="18">
        <f t="shared" si="51"/>
        <v>137585</v>
      </c>
      <c r="Q80" s="18">
        <f t="shared" si="52"/>
        <v>20608</v>
      </c>
      <c r="R80" s="18">
        <f t="shared" si="57"/>
        <v>375924</v>
      </c>
      <c r="S80" s="18"/>
      <c r="T80" s="18">
        <f t="shared" si="53"/>
        <v>41217</v>
      </c>
      <c r="U80" s="18">
        <f t="shared" si="54"/>
        <v>494598</v>
      </c>
      <c r="V80" s="18">
        <f t="shared" si="55"/>
        <v>6525</v>
      </c>
      <c r="W80" s="30">
        <f t="shared" si="56"/>
        <v>55034</v>
      </c>
    </row>
    <row r="81" spans="1:26" s="2" customFormat="1" ht="21" customHeight="1">
      <c r="A81" s="35" t="s">
        <v>523</v>
      </c>
      <c r="B81" s="36">
        <v>54</v>
      </c>
      <c r="C81" s="36">
        <v>56</v>
      </c>
      <c r="D81" s="18">
        <v>150990</v>
      </c>
      <c r="E81" s="18">
        <f t="shared" si="45"/>
        <v>1811880</v>
      </c>
      <c r="F81" s="18">
        <v>106195</v>
      </c>
      <c r="G81" s="18">
        <f t="shared" si="46"/>
        <v>1274340</v>
      </c>
      <c r="H81" s="37">
        <v>8</v>
      </c>
      <c r="I81" s="37">
        <v>8</v>
      </c>
      <c r="J81" s="18">
        <v>17703</v>
      </c>
      <c r="K81" s="18">
        <f t="shared" si="47"/>
        <v>212436</v>
      </c>
      <c r="L81" s="36">
        <v>14053</v>
      </c>
      <c r="M81" s="18">
        <f t="shared" si="48"/>
        <v>168636</v>
      </c>
      <c r="N81" s="18">
        <f t="shared" si="49"/>
        <v>517954</v>
      </c>
      <c r="O81" s="18">
        <f t="shared" si="50"/>
        <v>258977</v>
      </c>
      <c r="P81" s="18">
        <f t="shared" si="51"/>
        <v>101216</v>
      </c>
      <c r="Q81" s="18">
        <f t="shared" si="52"/>
        <v>15431</v>
      </c>
      <c r="R81" s="18">
        <f t="shared" si="57"/>
        <v>277383</v>
      </c>
      <c r="S81" s="18"/>
      <c r="T81" s="18">
        <f t="shared" si="53"/>
        <v>30862</v>
      </c>
      <c r="U81" s="18">
        <f t="shared" si="54"/>
        <v>370346</v>
      </c>
      <c r="V81" s="18">
        <f t="shared" si="55"/>
        <v>4800</v>
      </c>
      <c r="W81" s="30">
        <f t="shared" si="56"/>
        <v>40486</v>
      </c>
    </row>
    <row r="82" spans="1:26" s="2" customFormat="1" ht="21" customHeight="1">
      <c r="A82" s="35" t="s">
        <v>524</v>
      </c>
      <c r="B82" s="36">
        <v>111</v>
      </c>
      <c r="C82" s="36">
        <v>110</v>
      </c>
      <c r="D82" s="18">
        <v>291861</v>
      </c>
      <c r="E82" s="18">
        <f t="shared" si="45"/>
        <v>3502332</v>
      </c>
      <c r="F82" s="18">
        <v>206670</v>
      </c>
      <c r="G82" s="18">
        <f t="shared" si="46"/>
        <v>2480040</v>
      </c>
      <c r="H82" s="37">
        <v>24</v>
      </c>
      <c r="I82" s="37">
        <v>25</v>
      </c>
      <c r="J82" s="18">
        <v>59008</v>
      </c>
      <c r="K82" s="18">
        <f t="shared" si="47"/>
        <v>708096</v>
      </c>
      <c r="L82" s="36">
        <v>44859</v>
      </c>
      <c r="M82" s="18">
        <f t="shared" si="48"/>
        <v>538308</v>
      </c>
      <c r="N82" s="18">
        <f t="shared" si="49"/>
        <v>1003877</v>
      </c>
      <c r="O82" s="18">
        <f t="shared" si="50"/>
        <v>501939</v>
      </c>
      <c r="P82" s="18">
        <f t="shared" si="51"/>
        <v>210521</v>
      </c>
      <c r="Q82" s="18">
        <f t="shared" si="52"/>
        <v>29912</v>
      </c>
      <c r="R82" s="18">
        <f t="shared" si="57"/>
        <v>578302</v>
      </c>
      <c r="S82" s="18"/>
      <c r="T82" s="18">
        <f t="shared" si="53"/>
        <v>59824</v>
      </c>
      <c r="U82" s="18">
        <f t="shared" si="54"/>
        <v>717885</v>
      </c>
      <c r="V82" s="18">
        <f t="shared" si="55"/>
        <v>10125</v>
      </c>
      <c r="W82" s="30">
        <f t="shared" si="56"/>
        <v>84209</v>
      </c>
    </row>
    <row r="83" spans="1:26" s="2" customFormat="1" ht="21" customHeight="1">
      <c r="A83" s="35" t="s">
        <v>525</v>
      </c>
      <c r="B83" s="36">
        <v>63</v>
      </c>
      <c r="C83" s="36">
        <v>63</v>
      </c>
      <c r="D83" s="18">
        <v>166789</v>
      </c>
      <c r="E83" s="18">
        <f t="shared" si="45"/>
        <v>2001468</v>
      </c>
      <c r="F83" s="18">
        <v>118880</v>
      </c>
      <c r="G83" s="18">
        <f t="shared" si="46"/>
        <v>1426560</v>
      </c>
      <c r="H83" s="37">
        <v>8</v>
      </c>
      <c r="I83" s="37">
        <v>7</v>
      </c>
      <c r="J83" s="18">
        <v>17596</v>
      </c>
      <c r="K83" s="18">
        <f t="shared" si="47"/>
        <v>211152</v>
      </c>
      <c r="L83" s="36">
        <v>12213</v>
      </c>
      <c r="M83" s="18">
        <f t="shared" si="48"/>
        <v>146556</v>
      </c>
      <c r="N83" s="18">
        <f t="shared" si="49"/>
        <v>575171</v>
      </c>
      <c r="O83" s="18">
        <f t="shared" si="50"/>
        <v>287585</v>
      </c>
      <c r="P83" s="18">
        <f t="shared" si="51"/>
        <v>110631</v>
      </c>
      <c r="Q83" s="18">
        <f t="shared" si="52"/>
        <v>17140</v>
      </c>
      <c r="R83" s="18">
        <f t="shared" si="57"/>
        <v>302859</v>
      </c>
      <c r="S83" s="18"/>
      <c r="T83" s="18">
        <f t="shared" si="53"/>
        <v>34280</v>
      </c>
      <c r="U83" s="18">
        <f t="shared" si="54"/>
        <v>411363</v>
      </c>
      <c r="V83" s="18">
        <f t="shared" si="55"/>
        <v>5250</v>
      </c>
      <c r="W83" s="30">
        <f t="shared" si="56"/>
        <v>44252</v>
      </c>
    </row>
    <row r="84" spans="1:26" s="2" customFormat="1" ht="21" customHeight="1">
      <c r="A84" s="35" t="s">
        <v>526</v>
      </c>
      <c r="B84" s="36">
        <v>71</v>
      </c>
      <c r="C84" s="36">
        <v>74</v>
      </c>
      <c r="D84" s="18">
        <v>212448</v>
      </c>
      <c r="E84" s="18">
        <f t="shared" si="45"/>
        <v>2549376</v>
      </c>
      <c r="F84" s="18">
        <v>141680</v>
      </c>
      <c r="G84" s="18">
        <f t="shared" si="46"/>
        <v>1700160</v>
      </c>
      <c r="H84" s="37">
        <v>31</v>
      </c>
      <c r="I84" s="37">
        <v>30</v>
      </c>
      <c r="J84" s="18">
        <v>79152</v>
      </c>
      <c r="K84" s="18">
        <f t="shared" si="47"/>
        <v>949824</v>
      </c>
      <c r="L84" s="36">
        <v>55669</v>
      </c>
      <c r="M84" s="18">
        <f t="shared" si="48"/>
        <v>668028</v>
      </c>
      <c r="N84" s="18">
        <f t="shared" si="49"/>
        <v>713917</v>
      </c>
      <c r="O84" s="18">
        <f t="shared" si="50"/>
        <v>356959</v>
      </c>
      <c r="P84" s="18">
        <f t="shared" si="51"/>
        <v>174960</v>
      </c>
      <c r="Q84" s="18">
        <f t="shared" si="52"/>
        <v>21248</v>
      </c>
      <c r="R84" s="18">
        <f t="shared" si="57"/>
        <v>469391</v>
      </c>
      <c r="S84" s="18"/>
      <c r="T84" s="18">
        <f t="shared" si="53"/>
        <v>42495</v>
      </c>
      <c r="U84" s="18">
        <f t="shared" si="54"/>
        <v>509944</v>
      </c>
      <c r="V84" s="18">
        <f t="shared" si="55"/>
        <v>7800</v>
      </c>
      <c r="W84" s="30">
        <f t="shared" si="56"/>
        <v>69984</v>
      </c>
    </row>
    <row r="85" spans="1:26" s="2" customFormat="1" ht="21" customHeight="1">
      <c r="A85" s="34" t="s">
        <v>527</v>
      </c>
      <c r="B85" s="20">
        <f t="shared" ref="B85:W85" si="58">SUM(B71:B84)</f>
        <v>923</v>
      </c>
      <c r="C85" s="20">
        <f t="shared" si="58"/>
        <v>937</v>
      </c>
      <c r="D85" s="20">
        <f t="shared" si="58"/>
        <v>2489912</v>
      </c>
      <c r="E85" s="20">
        <f t="shared" si="58"/>
        <v>29878944</v>
      </c>
      <c r="F85" s="20">
        <f t="shared" si="58"/>
        <v>1763770</v>
      </c>
      <c r="G85" s="20">
        <f t="shared" si="58"/>
        <v>21165240</v>
      </c>
      <c r="H85" s="20">
        <f t="shared" si="58"/>
        <v>224</v>
      </c>
      <c r="I85" s="20">
        <f t="shared" si="58"/>
        <v>224</v>
      </c>
      <c r="J85" s="20">
        <f t="shared" si="58"/>
        <v>525556</v>
      </c>
      <c r="K85" s="20">
        <f t="shared" si="58"/>
        <v>6306672</v>
      </c>
      <c r="L85" s="20">
        <f t="shared" si="58"/>
        <v>397601</v>
      </c>
      <c r="M85" s="20">
        <f t="shared" si="58"/>
        <v>4771212</v>
      </c>
      <c r="N85" s="20">
        <f t="shared" si="58"/>
        <v>8565456</v>
      </c>
      <c r="O85" s="20">
        <f t="shared" si="58"/>
        <v>4282729</v>
      </c>
      <c r="P85" s="20">
        <f t="shared" si="58"/>
        <v>1809281</v>
      </c>
      <c r="Q85" s="20">
        <f t="shared" si="58"/>
        <v>255221</v>
      </c>
      <c r="R85" s="20">
        <f t="shared" si="58"/>
        <v>4969766</v>
      </c>
      <c r="S85" s="20">
        <f t="shared" si="58"/>
        <v>0</v>
      </c>
      <c r="T85" s="20">
        <f t="shared" si="58"/>
        <v>510443</v>
      </c>
      <c r="U85" s="20">
        <f t="shared" si="58"/>
        <v>6125300</v>
      </c>
      <c r="V85" s="20">
        <f t="shared" si="58"/>
        <v>87075</v>
      </c>
      <c r="W85" s="20">
        <f t="shared" si="58"/>
        <v>723713</v>
      </c>
    </row>
    <row r="86" spans="1:26" s="1" customFormat="1" ht="24.95" customHeight="1">
      <c r="A86" s="38" t="s">
        <v>528</v>
      </c>
      <c r="B86" s="20">
        <v>1</v>
      </c>
      <c r="C86" s="20">
        <v>1</v>
      </c>
      <c r="D86" s="20"/>
      <c r="E86" s="20"/>
      <c r="F86" s="20"/>
      <c r="G86" s="20">
        <v>22800</v>
      </c>
      <c r="H86" s="20">
        <v>4</v>
      </c>
      <c r="I86" s="20">
        <v>4</v>
      </c>
      <c r="J86" s="20">
        <v>5795</v>
      </c>
      <c r="K86" s="20">
        <f t="shared" ref="K86:K92" si="59">J86*12</f>
        <v>69540</v>
      </c>
      <c r="L86" s="20">
        <f>1589*I86</f>
        <v>6356</v>
      </c>
      <c r="M86" s="20">
        <f t="shared" ref="M86:M92" si="60">L86*12</f>
        <v>76272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6" s="2" customFormat="1" ht="21" customHeight="1">
      <c r="A87" s="34" t="s">
        <v>529</v>
      </c>
      <c r="B87" s="20">
        <f t="shared" ref="B87:W87" si="61">B70+B85+B86</f>
        <v>1741</v>
      </c>
      <c r="C87" s="20">
        <f t="shared" si="61"/>
        <v>1850</v>
      </c>
      <c r="D87" s="20">
        <f t="shared" si="61"/>
        <v>5554380</v>
      </c>
      <c r="E87" s="20">
        <f t="shared" si="61"/>
        <v>65922732</v>
      </c>
      <c r="F87" s="20">
        <f t="shared" si="61"/>
        <v>3609296</v>
      </c>
      <c r="G87" s="20">
        <f t="shared" si="61"/>
        <v>43334352</v>
      </c>
      <c r="H87" s="20">
        <f t="shared" si="61"/>
        <v>823</v>
      </c>
      <c r="I87" s="20">
        <f t="shared" si="61"/>
        <v>865</v>
      </c>
      <c r="J87" s="20">
        <f t="shared" si="61"/>
        <v>2148880.61</v>
      </c>
      <c r="K87" s="20">
        <f t="shared" si="61"/>
        <v>25786567.32</v>
      </c>
      <c r="L87" s="20">
        <f t="shared" si="61"/>
        <v>1572862</v>
      </c>
      <c r="M87" s="20">
        <f t="shared" si="61"/>
        <v>18874344</v>
      </c>
      <c r="N87" s="20">
        <f t="shared" si="61"/>
        <v>18393566</v>
      </c>
      <c r="O87" s="20">
        <f t="shared" si="61"/>
        <v>9196780</v>
      </c>
      <c r="P87" s="20">
        <f t="shared" si="61"/>
        <v>4590545</v>
      </c>
      <c r="Q87" s="20">
        <f t="shared" si="61"/>
        <v>547033</v>
      </c>
      <c r="R87" s="20">
        <f t="shared" si="61"/>
        <v>9638660</v>
      </c>
      <c r="S87" s="20">
        <f t="shared" si="61"/>
        <v>0</v>
      </c>
      <c r="T87" s="20">
        <f t="shared" si="61"/>
        <v>1094058</v>
      </c>
      <c r="U87" s="20">
        <f t="shared" si="61"/>
        <v>13128645</v>
      </c>
      <c r="V87" s="20">
        <f t="shared" si="61"/>
        <v>203250</v>
      </c>
      <c r="W87" s="20">
        <f t="shared" si="61"/>
        <v>1836215</v>
      </c>
    </row>
    <row r="88" spans="1:26" s="1" customFormat="1" ht="21" customHeight="1">
      <c r="A88" s="39" t="s">
        <v>530</v>
      </c>
      <c r="B88" s="18">
        <v>1533</v>
      </c>
      <c r="C88" s="18">
        <v>1616</v>
      </c>
      <c r="D88" s="18">
        <v>6008590</v>
      </c>
      <c r="E88" s="18">
        <f>D88*12</f>
        <v>72103080</v>
      </c>
      <c r="F88" s="18">
        <v>3684480</v>
      </c>
      <c r="G88" s="18">
        <f>F88*12</f>
        <v>44213760</v>
      </c>
      <c r="H88" s="18">
        <v>906</v>
      </c>
      <c r="I88" s="18">
        <v>901</v>
      </c>
      <c r="J88" s="18">
        <v>2512521</v>
      </c>
      <c r="K88" s="18">
        <f t="shared" si="59"/>
        <v>30150252</v>
      </c>
      <c r="L88" s="18">
        <v>1712306</v>
      </c>
      <c r="M88" s="18">
        <f t="shared" si="60"/>
        <v>20547672</v>
      </c>
      <c r="N88" s="18">
        <f>ROUND((E88+G88)*0.16+D88*0.16,0)</f>
        <v>19572069</v>
      </c>
      <c r="O88" s="18">
        <f>ROUND((E88+G88)*0.08+D88*0.08,0)</f>
        <v>9786034</v>
      </c>
      <c r="P88" s="18"/>
      <c r="Q88" s="18">
        <f>ROUND((E88+G88)*0.005,0)</f>
        <v>581584</v>
      </c>
      <c r="R88" s="18">
        <f>ROUND((E88+G88)*0.08,0)</f>
        <v>9305347</v>
      </c>
      <c r="S88" s="18">
        <f>ROUND((E88+G88)*0.007,0)</f>
        <v>814218</v>
      </c>
      <c r="T88" s="18">
        <f>ROUND((E88+G88)*0.014,0)</f>
        <v>1628436</v>
      </c>
      <c r="U88" s="18">
        <f>ROUND((E88+G88)*0.12,0)</f>
        <v>13958021</v>
      </c>
      <c r="V88" s="18">
        <f>ROUND((C88+I88)*75,0)</f>
        <v>188775</v>
      </c>
      <c r="W88" s="30">
        <f>ROUND((E88+K88)*0.02,0)</f>
        <v>2045067</v>
      </c>
    </row>
    <row r="89" spans="1:26" s="1" customFormat="1" ht="21" customHeight="1">
      <c r="A89" s="40" t="s">
        <v>531</v>
      </c>
      <c r="B89" s="20">
        <f t="shared" ref="B89:W89" si="62">SUM(B88:B88)</f>
        <v>1533</v>
      </c>
      <c r="C89" s="20">
        <f t="shared" si="62"/>
        <v>1616</v>
      </c>
      <c r="D89" s="20">
        <f t="shared" si="62"/>
        <v>6008590</v>
      </c>
      <c r="E89" s="20">
        <f t="shared" si="62"/>
        <v>72103080</v>
      </c>
      <c r="F89" s="20">
        <f t="shared" si="62"/>
        <v>3684480</v>
      </c>
      <c r="G89" s="20">
        <f t="shared" si="62"/>
        <v>44213760</v>
      </c>
      <c r="H89" s="20">
        <f t="shared" si="62"/>
        <v>906</v>
      </c>
      <c r="I89" s="20">
        <f t="shared" si="62"/>
        <v>901</v>
      </c>
      <c r="J89" s="20">
        <f t="shared" si="62"/>
        <v>2512521</v>
      </c>
      <c r="K89" s="20">
        <f t="shared" si="62"/>
        <v>30150252</v>
      </c>
      <c r="L89" s="20">
        <f t="shared" si="62"/>
        <v>1712306</v>
      </c>
      <c r="M89" s="20">
        <f t="shared" si="62"/>
        <v>20547672</v>
      </c>
      <c r="N89" s="20">
        <f t="shared" si="62"/>
        <v>19572069</v>
      </c>
      <c r="O89" s="20">
        <f t="shared" si="62"/>
        <v>9786034</v>
      </c>
      <c r="P89" s="20">
        <f t="shared" si="62"/>
        <v>0</v>
      </c>
      <c r="Q89" s="20">
        <f t="shared" si="62"/>
        <v>581584</v>
      </c>
      <c r="R89" s="20">
        <f t="shared" si="62"/>
        <v>9305347</v>
      </c>
      <c r="S89" s="20">
        <f t="shared" si="62"/>
        <v>814218</v>
      </c>
      <c r="T89" s="20">
        <f t="shared" si="62"/>
        <v>1628436</v>
      </c>
      <c r="U89" s="20">
        <f t="shared" si="62"/>
        <v>13958021</v>
      </c>
      <c r="V89" s="20">
        <f t="shared" si="62"/>
        <v>188775</v>
      </c>
      <c r="W89" s="20">
        <f t="shared" si="62"/>
        <v>2045067</v>
      </c>
      <c r="X89" s="1" t="e">
        <f>#REF!+C88+#REF!</f>
        <v>#REF!</v>
      </c>
      <c r="Y89" s="1" t="e">
        <f>#REF!+I88+#REF!</f>
        <v>#REF!</v>
      </c>
    </row>
    <row r="90" spans="1:26" s="1" customFormat="1" ht="21" customHeight="1">
      <c r="A90" s="41" t="s">
        <v>532</v>
      </c>
      <c r="B90" s="18">
        <v>3</v>
      </c>
      <c r="C90" s="18">
        <v>3</v>
      </c>
      <c r="D90" s="18">
        <v>9290</v>
      </c>
      <c r="E90" s="18">
        <f>D90*12</f>
        <v>111480</v>
      </c>
      <c r="F90" s="18">
        <v>6840</v>
      </c>
      <c r="G90" s="18">
        <f>F90*12</f>
        <v>82080</v>
      </c>
      <c r="H90" s="18">
        <v>2</v>
      </c>
      <c r="I90" s="18">
        <v>2</v>
      </c>
      <c r="J90" s="18">
        <v>3770</v>
      </c>
      <c r="K90" s="18">
        <f t="shared" si="59"/>
        <v>45240</v>
      </c>
      <c r="L90" s="18">
        <v>3406</v>
      </c>
      <c r="M90" s="18">
        <f t="shared" si="60"/>
        <v>40872</v>
      </c>
      <c r="N90" s="18">
        <f>ROUND((E90+G90)*0.16+D90*0.16,0)</f>
        <v>32456</v>
      </c>
      <c r="O90" s="18">
        <f>ROUND((E90+G90)*0.08+D90*0.08,0)</f>
        <v>16228</v>
      </c>
      <c r="P90" s="18"/>
      <c r="Q90" s="18">
        <f>ROUND((E90+G90)*0.005,0)</f>
        <v>968</v>
      </c>
      <c r="R90" s="18">
        <f>ROUND((E90+G90)*0.08,0)</f>
        <v>15485</v>
      </c>
      <c r="S90" s="18">
        <f>ROUND((E90+G90)*0.007,0)</f>
        <v>1355</v>
      </c>
      <c r="T90" s="18">
        <f>ROUND((E90+G90)*0.014,0)</f>
        <v>2710</v>
      </c>
      <c r="U90" s="18">
        <f>ROUND((E90+G90)*0.12,0)</f>
        <v>23227</v>
      </c>
      <c r="V90" s="18">
        <f>ROUND((C90+I90)*75,0)</f>
        <v>375</v>
      </c>
      <c r="W90" s="30">
        <f>ROUND((E90+K90)*0.02,0)</f>
        <v>3134</v>
      </c>
    </row>
    <row r="91" spans="1:26" s="1" customFormat="1" ht="21" customHeight="1">
      <c r="A91" s="42" t="s">
        <v>533</v>
      </c>
      <c r="B91" s="18">
        <v>7</v>
      </c>
      <c r="C91" s="18">
        <v>7</v>
      </c>
      <c r="D91" s="18">
        <v>22687</v>
      </c>
      <c r="E91" s="18">
        <f>D91*12</f>
        <v>272244</v>
      </c>
      <c r="F91" s="18">
        <v>15960</v>
      </c>
      <c r="G91" s="18">
        <f>F91*12</f>
        <v>191520</v>
      </c>
      <c r="H91" s="18">
        <v>6</v>
      </c>
      <c r="I91" s="18">
        <v>6</v>
      </c>
      <c r="J91" s="18">
        <v>15706</v>
      </c>
      <c r="K91" s="18">
        <f t="shared" si="59"/>
        <v>188472</v>
      </c>
      <c r="L91" s="18">
        <v>10947</v>
      </c>
      <c r="M91" s="18">
        <f t="shared" si="60"/>
        <v>131364</v>
      </c>
      <c r="N91" s="18">
        <f>ROUND((E91+G91)*0.16+D91*0.16,0)</f>
        <v>77832</v>
      </c>
      <c r="O91" s="18">
        <f>ROUND((E91+G91)*0.08+D91*0.08,0)</f>
        <v>38916</v>
      </c>
      <c r="P91" s="18"/>
      <c r="Q91" s="18">
        <f>ROUND((E91+G91)*0.005,0)</f>
        <v>2319</v>
      </c>
      <c r="R91" s="18">
        <f>ROUND((E91+G91)*0.08,0)</f>
        <v>37101</v>
      </c>
      <c r="S91" s="18">
        <f>ROUND((E91+G91)*0.007,0)</f>
        <v>3246</v>
      </c>
      <c r="T91" s="18">
        <f>ROUND((E91+G91)*0.014,0)</f>
        <v>6493</v>
      </c>
      <c r="U91" s="18">
        <f>ROUND((E91+G91)*0.12,0)</f>
        <v>55652</v>
      </c>
      <c r="V91" s="18">
        <f>ROUND((C91+I91)*75,0)</f>
        <v>975</v>
      </c>
      <c r="W91" s="30">
        <f>ROUND((E91+K91)*0.02,0)</f>
        <v>9214</v>
      </c>
    </row>
    <row r="92" spans="1:26" s="1" customFormat="1" ht="21" customHeight="1">
      <c r="A92" s="42" t="s">
        <v>534</v>
      </c>
      <c r="B92" s="18">
        <v>13</v>
      </c>
      <c r="C92" s="18">
        <v>12</v>
      </c>
      <c r="D92" s="18">
        <v>50182</v>
      </c>
      <c r="E92" s="18">
        <f>D92*12</f>
        <v>602184</v>
      </c>
      <c r="F92" s="18">
        <v>27360</v>
      </c>
      <c r="G92" s="18">
        <f>F92*12</f>
        <v>328320</v>
      </c>
      <c r="H92" s="18">
        <v>7</v>
      </c>
      <c r="I92" s="18">
        <v>8</v>
      </c>
      <c r="J92" s="18">
        <v>19403</v>
      </c>
      <c r="K92" s="18">
        <f t="shared" si="59"/>
        <v>232836</v>
      </c>
      <c r="L92" s="18">
        <v>14481</v>
      </c>
      <c r="M92" s="18">
        <f t="shared" si="60"/>
        <v>173772</v>
      </c>
      <c r="N92" s="18">
        <f>ROUND((E92+G92)*0.16+D92*0.16,0)</f>
        <v>156910</v>
      </c>
      <c r="O92" s="18">
        <f>ROUND((E92+G92)*0.08+D92*0.08,0)</f>
        <v>78455</v>
      </c>
      <c r="P92" s="18"/>
      <c r="Q92" s="18">
        <f>ROUND((E92+G92)*0.005,0)</f>
        <v>4653</v>
      </c>
      <c r="R92" s="18">
        <f>ROUND((E92+G92)*0.08,0)</f>
        <v>74440</v>
      </c>
      <c r="S92" s="18">
        <f>ROUND((E92+G92)*0.007,0)</f>
        <v>6514</v>
      </c>
      <c r="T92" s="18">
        <f>ROUND((E92+G92)*0.014,0)</f>
        <v>13027</v>
      </c>
      <c r="U92" s="18">
        <f>ROUND((E92+G92)*0.12,0)</f>
        <v>111660</v>
      </c>
      <c r="V92" s="18">
        <f>ROUND((C92+I92)*75,0)</f>
        <v>1500</v>
      </c>
      <c r="W92" s="30">
        <f>ROUND((E92+K92)*0.02,0)</f>
        <v>16700</v>
      </c>
    </row>
    <row r="93" spans="1:26" s="1" customFormat="1" ht="21" customHeight="1">
      <c r="A93" s="40" t="s">
        <v>535</v>
      </c>
      <c r="B93" s="20">
        <f t="shared" ref="B93:W93" si="63">SUM(B90:B92)</f>
        <v>23</v>
      </c>
      <c r="C93" s="20">
        <f t="shared" si="63"/>
        <v>22</v>
      </c>
      <c r="D93" s="20">
        <f t="shared" si="63"/>
        <v>82159</v>
      </c>
      <c r="E93" s="20">
        <f t="shared" si="63"/>
        <v>985908</v>
      </c>
      <c r="F93" s="20">
        <f t="shared" si="63"/>
        <v>50160</v>
      </c>
      <c r="G93" s="20">
        <f t="shared" si="63"/>
        <v>601920</v>
      </c>
      <c r="H93" s="20">
        <f t="shared" si="63"/>
        <v>15</v>
      </c>
      <c r="I93" s="20">
        <f t="shared" si="63"/>
        <v>16</v>
      </c>
      <c r="J93" s="20">
        <f t="shared" si="63"/>
        <v>38879</v>
      </c>
      <c r="K93" s="20">
        <f t="shared" si="63"/>
        <v>466548</v>
      </c>
      <c r="L93" s="20">
        <f t="shared" si="63"/>
        <v>28834</v>
      </c>
      <c r="M93" s="20">
        <f t="shared" si="63"/>
        <v>346008</v>
      </c>
      <c r="N93" s="20">
        <f t="shared" si="63"/>
        <v>267198</v>
      </c>
      <c r="O93" s="20">
        <f t="shared" si="63"/>
        <v>133599</v>
      </c>
      <c r="P93" s="20">
        <f t="shared" si="63"/>
        <v>0</v>
      </c>
      <c r="Q93" s="20">
        <f t="shared" si="63"/>
        <v>7940</v>
      </c>
      <c r="R93" s="20">
        <f t="shared" si="63"/>
        <v>127026</v>
      </c>
      <c r="S93" s="20">
        <f t="shared" si="63"/>
        <v>11115</v>
      </c>
      <c r="T93" s="20">
        <f t="shared" si="63"/>
        <v>22230</v>
      </c>
      <c r="U93" s="20">
        <f t="shared" si="63"/>
        <v>190539</v>
      </c>
      <c r="V93" s="20">
        <f t="shared" si="63"/>
        <v>2850</v>
      </c>
      <c r="W93" s="20">
        <f t="shared" si="63"/>
        <v>29048</v>
      </c>
    </row>
    <row r="94" spans="1:26" s="1" customFormat="1" ht="21" customHeight="1">
      <c r="A94" s="42" t="s">
        <v>536</v>
      </c>
      <c r="B94" s="18">
        <v>98</v>
      </c>
      <c r="C94" s="18">
        <v>93</v>
      </c>
      <c r="D94" s="18">
        <v>273340</v>
      </c>
      <c r="E94" s="18">
        <f t="shared" ref="E94:E101" si="64">D94*12</f>
        <v>3280080</v>
      </c>
      <c r="F94" s="18">
        <f t="shared" ref="F94:F100" si="65">1900*C94</f>
        <v>176700</v>
      </c>
      <c r="G94" s="18">
        <f t="shared" ref="G94:G101" si="66">F94*12</f>
        <v>2120400</v>
      </c>
      <c r="H94" s="18">
        <v>65</v>
      </c>
      <c r="I94" s="18">
        <v>67</v>
      </c>
      <c r="J94" s="18">
        <v>144364</v>
      </c>
      <c r="K94" s="18">
        <f t="shared" ref="K94:K100" si="67">J94*12</f>
        <v>1732368</v>
      </c>
      <c r="L94" s="18">
        <v>115660</v>
      </c>
      <c r="M94" s="18">
        <f t="shared" ref="M94:M100" si="68">L94*12</f>
        <v>1387920</v>
      </c>
      <c r="N94" s="18">
        <f t="shared" ref="N94:N101" si="69">ROUND((E94+G94)*0.16+D94*0.16,0)</f>
        <v>907811</v>
      </c>
      <c r="O94" s="18">
        <f t="shared" ref="O94:O101" si="70">ROUND((E94+G94)*0.08+D94*0.08,0)</f>
        <v>453906</v>
      </c>
      <c r="P94" s="18"/>
      <c r="Q94" s="18">
        <f t="shared" ref="Q94:Q101" si="71">ROUND((E94+G94)*0.005,0)</f>
        <v>27002</v>
      </c>
      <c r="R94" s="18">
        <f t="shared" ref="R94:R101" si="72">ROUND((E94+G94)*0.08,0)</f>
        <v>432038</v>
      </c>
      <c r="S94" s="18">
        <f t="shared" ref="S94:S101" si="73">ROUND((E94+G94)*0.007,0)</f>
        <v>37803</v>
      </c>
      <c r="T94" s="18">
        <f>ROUND((E94+G94)*0.014,0)</f>
        <v>75607</v>
      </c>
      <c r="U94" s="18">
        <f t="shared" ref="U94:U101" si="74">ROUND((E94+G94)*0.12,0)</f>
        <v>648058</v>
      </c>
      <c r="V94" s="18">
        <f t="shared" ref="V94:V101" si="75">ROUND((C94+I94)*75,0)</f>
        <v>12000</v>
      </c>
      <c r="W94" s="30">
        <f t="shared" ref="W94:W101" si="76">ROUND((E94+K94)*0.02,0)</f>
        <v>100249</v>
      </c>
      <c r="X94" s="482" t="s">
        <v>537</v>
      </c>
      <c r="Y94" s="482"/>
      <c r="Z94" s="482"/>
    </row>
    <row r="95" spans="1:26" s="1" customFormat="1" ht="21" customHeight="1">
      <c r="A95" s="40" t="s">
        <v>538</v>
      </c>
      <c r="B95" s="20">
        <f t="shared" ref="B95:W95" si="77">SUM(B94)</f>
        <v>98</v>
      </c>
      <c r="C95" s="20">
        <f t="shared" si="77"/>
        <v>93</v>
      </c>
      <c r="D95" s="20">
        <f t="shared" si="77"/>
        <v>273340</v>
      </c>
      <c r="E95" s="20">
        <f t="shared" si="77"/>
        <v>3280080</v>
      </c>
      <c r="F95" s="20">
        <f t="shared" si="77"/>
        <v>176700</v>
      </c>
      <c r="G95" s="20">
        <f t="shared" si="77"/>
        <v>2120400</v>
      </c>
      <c r="H95" s="20">
        <f t="shared" si="77"/>
        <v>65</v>
      </c>
      <c r="I95" s="20">
        <f t="shared" si="77"/>
        <v>67</v>
      </c>
      <c r="J95" s="20">
        <f t="shared" si="77"/>
        <v>144364</v>
      </c>
      <c r="K95" s="20">
        <f t="shared" si="77"/>
        <v>1732368</v>
      </c>
      <c r="L95" s="20">
        <f t="shared" si="77"/>
        <v>115660</v>
      </c>
      <c r="M95" s="20">
        <f t="shared" si="77"/>
        <v>1387920</v>
      </c>
      <c r="N95" s="20">
        <f t="shared" si="77"/>
        <v>907811</v>
      </c>
      <c r="O95" s="20">
        <f t="shared" si="77"/>
        <v>453906</v>
      </c>
      <c r="P95" s="20">
        <f t="shared" si="77"/>
        <v>0</v>
      </c>
      <c r="Q95" s="20">
        <f t="shared" si="77"/>
        <v>27002</v>
      </c>
      <c r="R95" s="20">
        <f t="shared" si="77"/>
        <v>432038</v>
      </c>
      <c r="S95" s="20">
        <f t="shared" si="77"/>
        <v>37803</v>
      </c>
      <c r="T95" s="20">
        <f t="shared" si="77"/>
        <v>75607</v>
      </c>
      <c r="U95" s="20">
        <f t="shared" si="77"/>
        <v>648058</v>
      </c>
      <c r="V95" s="20">
        <f t="shared" si="77"/>
        <v>12000</v>
      </c>
      <c r="W95" s="20">
        <f t="shared" si="77"/>
        <v>100249</v>
      </c>
    </row>
    <row r="96" spans="1:26" s="1" customFormat="1" ht="21" customHeight="1">
      <c r="A96" s="43" t="s">
        <v>539</v>
      </c>
      <c r="B96" s="18">
        <v>5</v>
      </c>
      <c r="C96" s="18">
        <v>4</v>
      </c>
      <c r="D96" s="18">
        <v>15958</v>
      </c>
      <c r="E96" s="18">
        <f t="shared" si="64"/>
        <v>191496</v>
      </c>
      <c r="F96" s="18">
        <f t="shared" si="65"/>
        <v>7600</v>
      </c>
      <c r="G96" s="18">
        <f t="shared" si="66"/>
        <v>91200</v>
      </c>
      <c r="H96" s="18">
        <v>1</v>
      </c>
      <c r="I96" s="18"/>
      <c r="J96" s="18"/>
      <c r="K96" s="18">
        <f t="shared" si="67"/>
        <v>0</v>
      </c>
      <c r="L96" s="18">
        <f>1589*I96</f>
        <v>0</v>
      </c>
      <c r="M96" s="18">
        <f t="shared" si="68"/>
        <v>0</v>
      </c>
      <c r="N96" s="18">
        <f t="shared" si="69"/>
        <v>47785</v>
      </c>
      <c r="O96" s="18">
        <f t="shared" si="70"/>
        <v>23892</v>
      </c>
      <c r="P96" s="18"/>
      <c r="Q96" s="18">
        <f t="shared" si="71"/>
        <v>1413</v>
      </c>
      <c r="R96" s="18">
        <f t="shared" si="72"/>
        <v>22616</v>
      </c>
      <c r="S96" s="18">
        <f t="shared" si="73"/>
        <v>1979</v>
      </c>
      <c r="T96" s="18">
        <f t="shared" ref="T96:T101" si="78">ROUND((E96+G96)*0.01,0)</f>
        <v>2827</v>
      </c>
      <c r="U96" s="18">
        <f t="shared" si="74"/>
        <v>33924</v>
      </c>
      <c r="V96" s="18">
        <f t="shared" si="75"/>
        <v>300</v>
      </c>
      <c r="W96" s="30">
        <f t="shared" si="76"/>
        <v>3830</v>
      </c>
    </row>
    <row r="97" spans="1:27" s="1" customFormat="1" ht="21" customHeight="1">
      <c r="A97" s="44" t="s">
        <v>540</v>
      </c>
      <c r="B97" s="18">
        <v>33</v>
      </c>
      <c r="C97" s="18">
        <v>32</v>
      </c>
      <c r="D97" s="18">
        <v>87502</v>
      </c>
      <c r="E97" s="18">
        <f t="shared" si="64"/>
        <v>1050024</v>
      </c>
      <c r="F97" s="18">
        <f t="shared" si="65"/>
        <v>60800</v>
      </c>
      <c r="G97" s="18">
        <f t="shared" si="66"/>
        <v>729600</v>
      </c>
      <c r="H97" s="18"/>
      <c r="I97" s="18"/>
      <c r="J97" s="18"/>
      <c r="K97" s="18">
        <f t="shared" si="67"/>
        <v>0</v>
      </c>
      <c r="L97" s="18">
        <f>1589*I97</f>
        <v>0</v>
      </c>
      <c r="M97" s="18">
        <f t="shared" si="68"/>
        <v>0</v>
      </c>
      <c r="N97" s="18">
        <f t="shared" si="69"/>
        <v>298740</v>
      </c>
      <c r="O97" s="18">
        <f t="shared" si="70"/>
        <v>149370</v>
      </c>
      <c r="P97" s="18"/>
      <c r="Q97" s="18">
        <f t="shared" si="71"/>
        <v>8898</v>
      </c>
      <c r="R97" s="18">
        <f t="shared" si="72"/>
        <v>142370</v>
      </c>
      <c r="S97" s="18">
        <f t="shared" si="73"/>
        <v>12457</v>
      </c>
      <c r="T97" s="18">
        <f t="shared" si="78"/>
        <v>17796</v>
      </c>
      <c r="U97" s="18">
        <f t="shared" si="74"/>
        <v>213555</v>
      </c>
      <c r="V97" s="18">
        <f t="shared" si="75"/>
        <v>2400</v>
      </c>
      <c r="W97" s="30">
        <f t="shared" si="76"/>
        <v>21000</v>
      </c>
    </row>
    <row r="98" spans="1:27" s="1" customFormat="1" ht="21" customHeight="1">
      <c r="A98" s="45" t="s">
        <v>503</v>
      </c>
      <c r="B98" s="18">
        <v>6</v>
      </c>
      <c r="C98" s="18">
        <v>4</v>
      </c>
      <c r="D98" s="18">
        <v>12035</v>
      </c>
      <c r="E98" s="18">
        <f t="shared" si="64"/>
        <v>144420</v>
      </c>
      <c r="F98" s="18">
        <f t="shared" si="65"/>
        <v>7600</v>
      </c>
      <c r="G98" s="18">
        <f t="shared" si="66"/>
        <v>91200</v>
      </c>
      <c r="H98" s="18"/>
      <c r="I98" s="18"/>
      <c r="J98" s="18"/>
      <c r="K98" s="18">
        <f t="shared" si="67"/>
        <v>0</v>
      </c>
      <c r="L98" s="18">
        <f>1589*I98</f>
        <v>0</v>
      </c>
      <c r="M98" s="18">
        <f t="shared" si="68"/>
        <v>0</v>
      </c>
      <c r="N98" s="18">
        <f t="shared" si="69"/>
        <v>39625</v>
      </c>
      <c r="O98" s="18">
        <f t="shared" si="70"/>
        <v>19812</v>
      </c>
      <c r="P98" s="18"/>
      <c r="Q98" s="18">
        <f t="shared" si="71"/>
        <v>1178</v>
      </c>
      <c r="R98" s="18">
        <f t="shared" si="72"/>
        <v>18850</v>
      </c>
      <c r="S98" s="18">
        <f t="shared" si="73"/>
        <v>1649</v>
      </c>
      <c r="T98" s="18">
        <f t="shared" si="78"/>
        <v>2356</v>
      </c>
      <c r="U98" s="18">
        <f t="shared" si="74"/>
        <v>28274</v>
      </c>
      <c r="V98" s="18">
        <f t="shared" si="75"/>
        <v>300</v>
      </c>
      <c r="W98" s="30">
        <f t="shared" si="76"/>
        <v>2888</v>
      </c>
      <c r="AA98" s="56"/>
    </row>
    <row r="99" spans="1:27" s="1" customFormat="1" ht="21" customHeight="1">
      <c r="A99" s="46" t="s">
        <v>541</v>
      </c>
      <c r="B99" s="18">
        <v>2</v>
      </c>
      <c r="C99" s="18">
        <v>2</v>
      </c>
      <c r="D99" s="18">
        <v>7135</v>
      </c>
      <c r="E99" s="18">
        <f t="shared" si="64"/>
        <v>85620</v>
      </c>
      <c r="F99" s="18">
        <f t="shared" si="65"/>
        <v>3800</v>
      </c>
      <c r="G99" s="18">
        <f t="shared" si="66"/>
        <v>45600</v>
      </c>
      <c r="H99" s="18">
        <v>3</v>
      </c>
      <c r="I99" s="18">
        <v>1</v>
      </c>
      <c r="J99" s="18">
        <v>1635</v>
      </c>
      <c r="K99" s="18">
        <f t="shared" si="67"/>
        <v>19620</v>
      </c>
      <c r="L99" s="18">
        <v>1636</v>
      </c>
      <c r="M99" s="18">
        <f t="shared" si="68"/>
        <v>19632</v>
      </c>
      <c r="N99" s="18">
        <f t="shared" si="69"/>
        <v>22137</v>
      </c>
      <c r="O99" s="18">
        <f t="shared" si="70"/>
        <v>11068</v>
      </c>
      <c r="P99" s="18"/>
      <c r="Q99" s="18">
        <f t="shared" si="71"/>
        <v>656</v>
      </c>
      <c r="R99" s="18">
        <f t="shared" si="72"/>
        <v>10498</v>
      </c>
      <c r="S99" s="18">
        <f t="shared" si="73"/>
        <v>919</v>
      </c>
      <c r="T99" s="18">
        <f t="shared" si="78"/>
        <v>1312</v>
      </c>
      <c r="U99" s="18">
        <f t="shared" si="74"/>
        <v>15746</v>
      </c>
      <c r="V99" s="18">
        <f t="shared" si="75"/>
        <v>225</v>
      </c>
      <c r="W99" s="30">
        <f t="shared" si="76"/>
        <v>2105</v>
      </c>
    </row>
    <row r="100" spans="1:27" s="1" customFormat="1" ht="21" customHeight="1">
      <c r="A100" s="45" t="s">
        <v>542</v>
      </c>
      <c r="B100" s="18">
        <v>5</v>
      </c>
      <c r="C100" s="18">
        <v>5</v>
      </c>
      <c r="D100" s="18">
        <v>13958</v>
      </c>
      <c r="E100" s="18">
        <f t="shared" si="64"/>
        <v>167496</v>
      </c>
      <c r="F100" s="18">
        <f t="shared" si="65"/>
        <v>9500</v>
      </c>
      <c r="G100" s="18">
        <f t="shared" si="66"/>
        <v>114000</v>
      </c>
      <c r="H100" s="18"/>
      <c r="I100" s="18"/>
      <c r="J100" s="18"/>
      <c r="K100" s="18">
        <f t="shared" si="67"/>
        <v>0</v>
      </c>
      <c r="L100" s="18">
        <f>1589*I100</f>
        <v>0</v>
      </c>
      <c r="M100" s="18">
        <f t="shared" si="68"/>
        <v>0</v>
      </c>
      <c r="N100" s="18">
        <f t="shared" si="69"/>
        <v>47273</v>
      </c>
      <c r="O100" s="18">
        <f t="shared" si="70"/>
        <v>23636</v>
      </c>
      <c r="P100" s="18"/>
      <c r="Q100" s="18">
        <f t="shared" si="71"/>
        <v>1407</v>
      </c>
      <c r="R100" s="18">
        <f t="shared" si="72"/>
        <v>22520</v>
      </c>
      <c r="S100" s="18">
        <f t="shared" si="73"/>
        <v>1970</v>
      </c>
      <c r="T100" s="18">
        <f t="shared" si="78"/>
        <v>2815</v>
      </c>
      <c r="U100" s="18">
        <f t="shared" si="74"/>
        <v>33780</v>
      </c>
      <c r="V100" s="18">
        <f t="shared" si="75"/>
        <v>375</v>
      </c>
      <c r="W100" s="30">
        <f t="shared" si="76"/>
        <v>3350</v>
      </c>
    </row>
    <row r="101" spans="1:27" s="1" customFormat="1" ht="21" customHeight="1">
      <c r="A101" s="45" t="s">
        <v>543</v>
      </c>
      <c r="B101" s="18"/>
      <c r="C101" s="18">
        <v>3</v>
      </c>
      <c r="D101" s="18">
        <v>6557</v>
      </c>
      <c r="E101" s="18">
        <f t="shared" si="64"/>
        <v>78684</v>
      </c>
      <c r="F101" s="18">
        <f>1900*3</f>
        <v>5700</v>
      </c>
      <c r="G101" s="18">
        <f t="shared" si="66"/>
        <v>68400</v>
      </c>
      <c r="H101" s="18"/>
      <c r="I101" s="18"/>
      <c r="J101" s="18"/>
      <c r="K101" s="18"/>
      <c r="L101" s="18"/>
      <c r="M101" s="18"/>
      <c r="N101" s="18">
        <f t="shared" si="69"/>
        <v>24583</v>
      </c>
      <c r="O101" s="18">
        <f t="shared" si="70"/>
        <v>12291</v>
      </c>
      <c r="P101" s="18"/>
      <c r="Q101" s="18">
        <f t="shared" si="71"/>
        <v>735</v>
      </c>
      <c r="R101" s="18">
        <f t="shared" si="72"/>
        <v>11767</v>
      </c>
      <c r="S101" s="18">
        <f t="shared" si="73"/>
        <v>1030</v>
      </c>
      <c r="T101" s="18">
        <f t="shared" si="78"/>
        <v>1471</v>
      </c>
      <c r="U101" s="18">
        <f t="shared" si="74"/>
        <v>17650</v>
      </c>
      <c r="V101" s="18">
        <f t="shared" si="75"/>
        <v>225</v>
      </c>
      <c r="W101" s="30">
        <f t="shared" si="76"/>
        <v>1574</v>
      </c>
    </row>
    <row r="102" spans="1:27" s="1" customFormat="1" ht="21" customHeight="1">
      <c r="A102" s="47" t="s">
        <v>544</v>
      </c>
      <c r="B102" s="18">
        <v>2</v>
      </c>
      <c r="C102" s="18">
        <v>2</v>
      </c>
      <c r="D102" s="18">
        <v>5812</v>
      </c>
      <c r="E102" s="18">
        <f t="shared" ref="E102:E132" si="79">D102*12</f>
        <v>69744</v>
      </c>
      <c r="F102" s="18">
        <f t="shared" ref="F102:F132" si="80">1900*C102</f>
        <v>3800</v>
      </c>
      <c r="G102" s="18">
        <f t="shared" ref="G102:G132" si="81">F102*12</f>
        <v>45600</v>
      </c>
      <c r="H102" s="18"/>
      <c r="I102" s="18"/>
      <c r="J102" s="18"/>
      <c r="K102" s="18">
        <f t="shared" ref="K102:K132" si="82">J102*12</f>
        <v>0</v>
      </c>
      <c r="L102" s="18">
        <f t="shared" ref="L102:L111" si="83">1589*I102</f>
        <v>0</v>
      </c>
      <c r="M102" s="18">
        <f t="shared" ref="M102:M132" si="84">L102*12</f>
        <v>0</v>
      </c>
      <c r="N102" s="18">
        <f t="shared" ref="N102:N132" si="85">ROUND((E102+G102)*0.16+D102*0.16,0)</f>
        <v>19385</v>
      </c>
      <c r="O102" s="18">
        <f t="shared" ref="O102:O132" si="86">ROUND((E102+G102)*0.08+D102*0.08,0)</f>
        <v>9692</v>
      </c>
      <c r="P102" s="18"/>
      <c r="Q102" s="18">
        <f t="shared" ref="Q102:Q132" si="87">ROUND((E102+G102)*0.005,0)</f>
        <v>577</v>
      </c>
      <c r="R102" s="18">
        <f t="shared" ref="R102:R128" si="88">ROUND((E102+G102)*0.08,0)</f>
        <v>9228</v>
      </c>
      <c r="S102" s="18">
        <f t="shared" ref="S102:S132" si="89">ROUND((E102+G102)*0.007,0)</f>
        <v>807</v>
      </c>
      <c r="T102" s="18">
        <f t="shared" ref="T102:T132" si="90">ROUND((E102+G102)*0.01,0)</f>
        <v>1153</v>
      </c>
      <c r="U102" s="18">
        <f t="shared" ref="U102:U132" si="91">ROUND((E102+G102)*0.12,0)</f>
        <v>13841</v>
      </c>
      <c r="V102" s="18">
        <f t="shared" ref="V102:V132" si="92">ROUND((C102+I102)*75,0)</f>
        <v>150</v>
      </c>
      <c r="W102" s="30">
        <f t="shared" ref="W102:W132" si="93">ROUND((E102+K102)*0.02,0)</f>
        <v>1395</v>
      </c>
    </row>
    <row r="103" spans="1:27" s="1" customFormat="1" ht="21" customHeight="1">
      <c r="A103" s="47" t="s">
        <v>545</v>
      </c>
      <c r="B103" s="18">
        <v>2</v>
      </c>
      <c r="C103" s="18">
        <v>5</v>
      </c>
      <c r="D103" s="18">
        <v>17318</v>
      </c>
      <c r="E103" s="18">
        <f t="shared" si="79"/>
        <v>207816</v>
      </c>
      <c r="F103" s="18">
        <f t="shared" si="80"/>
        <v>9500</v>
      </c>
      <c r="G103" s="18">
        <f t="shared" si="81"/>
        <v>114000</v>
      </c>
      <c r="H103" s="18"/>
      <c r="I103" s="18"/>
      <c r="J103" s="18"/>
      <c r="K103" s="18">
        <f t="shared" si="82"/>
        <v>0</v>
      </c>
      <c r="L103" s="18">
        <f t="shared" si="83"/>
        <v>0</v>
      </c>
      <c r="M103" s="18">
        <f t="shared" si="84"/>
        <v>0</v>
      </c>
      <c r="N103" s="18">
        <f t="shared" si="85"/>
        <v>54261</v>
      </c>
      <c r="O103" s="18">
        <f t="shared" si="86"/>
        <v>27131</v>
      </c>
      <c r="P103" s="18"/>
      <c r="Q103" s="18">
        <f t="shared" si="87"/>
        <v>1609</v>
      </c>
      <c r="R103" s="18">
        <f t="shared" si="88"/>
        <v>25745</v>
      </c>
      <c r="S103" s="18">
        <f t="shared" si="89"/>
        <v>2253</v>
      </c>
      <c r="T103" s="18">
        <f t="shared" si="90"/>
        <v>3218</v>
      </c>
      <c r="U103" s="18">
        <f t="shared" si="91"/>
        <v>38618</v>
      </c>
      <c r="V103" s="18">
        <f t="shared" si="92"/>
        <v>375</v>
      </c>
      <c r="W103" s="30">
        <f t="shared" si="93"/>
        <v>4156</v>
      </c>
    </row>
    <row r="104" spans="1:27" s="1" customFormat="1" ht="21" customHeight="1">
      <c r="A104" s="48" t="s">
        <v>457</v>
      </c>
      <c r="B104" s="18"/>
      <c r="C104" s="18">
        <v>1</v>
      </c>
      <c r="D104" s="18">
        <v>2892</v>
      </c>
      <c r="E104" s="18">
        <f t="shared" si="79"/>
        <v>34704</v>
      </c>
      <c r="F104" s="18">
        <f t="shared" si="80"/>
        <v>1900</v>
      </c>
      <c r="G104" s="18">
        <f t="shared" si="81"/>
        <v>22800</v>
      </c>
      <c r="H104" s="18"/>
      <c r="I104" s="18"/>
      <c r="J104" s="18"/>
      <c r="K104" s="18">
        <f t="shared" si="82"/>
        <v>0</v>
      </c>
      <c r="L104" s="18">
        <f t="shared" si="83"/>
        <v>0</v>
      </c>
      <c r="M104" s="18">
        <f t="shared" si="84"/>
        <v>0</v>
      </c>
      <c r="N104" s="18">
        <f t="shared" si="85"/>
        <v>9663</v>
      </c>
      <c r="O104" s="18">
        <f t="shared" si="86"/>
        <v>4832</v>
      </c>
      <c r="P104" s="18"/>
      <c r="Q104" s="18">
        <f t="shared" si="87"/>
        <v>288</v>
      </c>
      <c r="R104" s="18">
        <f t="shared" si="88"/>
        <v>4600</v>
      </c>
      <c r="S104" s="18">
        <f t="shared" si="89"/>
        <v>403</v>
      </c>
      <c r="T104" s="18">
        <f t="shared" si="90"/>
        <v>575</v>
      </c>
      <c r="U104" s="18">
        <f t="shared" si="91"/>
        <v>6900</v>
      </c>
      <c r="V104" s="18">
        <f t="shared" si="92"/>
        <v>75</v>
      </c>
      <c r="W104" s="30">
        <f t="shared" si="93"/>
        <v>694</v>
      </c>
    </row>
    <row r="105" spans="1:27" s="1" customFormat="1" ht="21" customHeight="1">
      <c r="A105" s="48" t="s">
        <v>546</v>
      </c>
      <c r="B105" s="18"/>
      <c r="C105" s="18">
        <v>3</v>
      </c>
      <c r="D105" s="18">
        <v>9374</v>
      </c>
      <c r="E105" s="18">
        <f t="shared" si="79"/>
        <v>112488</v>
      </c>
      <c r="F105" s="18">
        <f t="shared" si="80"/>
        <v>5700</v>
      </c>
      <c r="G105" s="18">
        <f t="shared" si="81"/>
        <v>68400</v>
      </c>
      <c r="H105" s="18"/>
      <c r="I105" s="18"/>
      <c r="J105" s="18"/>
      <c r="K105" s="18">
        <f t="shared" si="82"/>
        <v>0</v>
      </c>
      <c r="L105" s="18">
        <f t="shared" si="83"/>
        <v>0</v>
      </c>
      <c r="M105" s="18">
        <f t="shared" si="84"/>
        <v>0</v>
      </c>
      <c r="N105" s="18">
        <f t="shared" si="85"/>
        <v>30442</v>
      </c>
      <c r="O105" s="18">
        <f t="shared" si="86"/>
        <v>15221</v>
      </c>
      <c r="P105" s="18"/>
      <c r="Q105" s="18">
        <f t="shared" si="87"/>
        <v>904</v>
      </c>
      <c r="R105" s="18">
        <f t="shared" si="88"/>
        <v>14471</v>
      </c>
      <c r="S105" s="18">
        <f t="shared" si="89"/>
        <v>1266</v>
      </c>
      <c r="T105" s="18">
        <f t="shared" si="90"/>
        <v>1809</v>
      </c>
      <c r="U105" s="18">
        <f t="shared" si="91"/>
        <v>21707</v>
      </c>
      <c r="V105" s="18">
        <f t="shared" si="92"/>
        <v>225</v>
      </c>
      <c r="W105" s="30">
        <f t="shared" si="93"/>
        <v>2250</v>
      </c>
    </row>
    <row r="106" spans="1:27" s="1" customFormat="1" ht="21" customHeight="1">
      <c r="A106" s="47" t="s">
        <v>547</v>
      </c>
      <c r="B106" s="18">
        <v>3</v>
      </c>
      <c r="C106" s="18">
        <v>3</v>
      </c>
      <c r="D106" s="18">
        <v>8480</v>
      </c>
      <c r="E106" s="18">
        <f t="shared" si="79"/>
        <v>101760</v>
      </c>
      <c r="F106" s="18">
        <f t="shared" si="80"/>
        <v>5700</v>
      </c>
      <c r="G106" s="18">
        <f t="shared" si="81"/>
        <v>68400</v>
      </c>
      <c r="H106" s="18"/>
      <c r="I106" s="18"/>
      <c r="J106" s="18"/>
      <c r="K106" s="18">
        <f t="shared" si="82"/>
        <v>0</v>
      </c>
      <c r="L106" s="18">
        <f t="shared" si="83"/>
        <v>0</v>
      </c>
      <c r="M106" s="18">
        <f t="shared" si="84"/>
        <v>0</v>
      </c>
      <c r="N106" s="18">
        <f t="shared" si="85"/>
        <v>28582</v>
      </c>
      <c r="O106" s="18">
        <f t="shared" si="86"/>
        <v>14291</v>
      </c>
      <c r="P106" s="18"/>
      <c r="Q106" s="18">
        <f t="shared" si="87"/>
        <v>851</v>
      </c>
      <c r="R106" s="18">
        <f t="shared" si="88"/>
        <v>13613</v>
      </c>
      <c r="S106" s="18">
        <f t="shared" si="89"/>
        <v>1191</v>
      </c>
      <c r="T106" s="18">
        <f t="shared" si="90"/>
        <v>1702</v>
      </c>
      <c r="U106" s="18">
        <f t="shared" si="91"/>
        <v>20419</v>
      </c>
      <c r="V106" s="18">
        <f t="shared" si="92"/>
        <v>225</v>
      </c>
      <c r="W106" s="30">
        <f t="shared" si="93"/>
        <v>2035</v>
      </c>
    </row>
    <row r="107" spans="1:27" s="1" customFormat="1" ht="21" customHeight="1">
      <c r="A107" s="48" t="s">
        <v>472</v>
      </c>
      <c r="B107" s="18">
        <v>3</v>
      </c>
      <c r="C107" s="18">
        <v>3</v>
      </c>
      <c r="D107" s="18">
        <v>7977</v>
      </c>
      <c r="E107" s="18">
        <f t="shared" si="79"/>
        <v>95724</v>
      </c>
      <c r="F107" s="18">
        <f t="shared" si="80"/>
        <v>5700</v>
      </c>
      <c r="G107" s="18">
        <f t="shared" si="81"/>
        <v>68400</v>
      </c>
      <c r="H107" s="18"/>
      <c r="I107" s="18"/>
      <c r="J107" s="18"/>
      <c r="K107" s="18">
        <f t="shared" si="82"/>
        <v>0</v>
      </c>
      <c r="L107" s="18">
        <f t="shared" si="83"/>
        <v>0</v>
      </c>
      <c r="M107" s="18">
        <f t="shared" si="84"/>
        <v>0</v>
      </c>
      <c r="N107" s="18">
        <f t="shared" si="85"/>
        <v>27536</v>
      </c>
      <c r="O107" s="18">
        <f t="shared" si="86"/>
        <v>13768</v>
      </c>
      <c r="P107" s="18"/>
      <c r="Q107" s="18">
        <f t="shared" si="87"/>
        <v>821</v>
      </c>
      <c r="R107" s="18">
        <f t="shared" si="88"/>
        <v>13130</v>
      </c>
      <c r="S107" s="18">
        <f t="shared" si="89"/>
        <v>1149</v>
      </c>
      <c r="T107" s="18">
        <f t="shared" si="90"/>
        <v>1641</v>
      </c>
      <c r="U107" s="18">
        <f t="shared" si="91"/>
        <v>19695</v>
      </c>
      <c r="V107" s="18">
        <f t="shared" si="92"/>
        <v>225</v>
      </c>
      <c r="W107" s="30">
        <f t="shared" si="93"/>
        <v>1914</v>
      </c>
    </row>
    <row r="108" spans="1:27" s="1" customFormat="1" ht="21" customHeight="1">
      <c r="A108" s="48" t="s">
        <v>548</v>
      </c>
      <c r="B108" s="18">
        <v>2</v>
      </c>
      <c r="C108" s="18">
        <v>2</v>
      </c>
      <c r="D108" s="18">
        <v>5950</v>
      </c>
      <c r="E108" s="18">
        <f t="shared" si="79"/>
        <v>71400</v>
      </c>
      <c r="F108" s="18">
        <f t="shared" si="80"/>
        <v>3800</v>
      </c>
      <c r="G108" s="18">
        <f t="shared" si="81"/>
        <v>45600</v>
      </c>
      <c r="H108" s="18"/>
      <c r="I108" s="18"/>
      <c r="J108" s="18"/>
      <c r="K108" s="18">
        <f t="shared" si="82"/>
        <v>0</v>
      </c>
      <c r="L108" s="18">
        <f t="shared" si="83"/>
        <v>0</v>
      </c>
      <c r="M108" s="18">
        <f t="shared" si="84"/>
        <v>0</v>
      </c>
      <c r="N108" s="18">
        <f t="shared" si="85"/>
        <v>19672</v>
      </c>
      <c r="O108" s="18">
        <f t="shared" si="86"/>
        <v>9836</v>
      </c>
      <c r="P108" s="18"/>
      <c r="Q108" s="18">
        <f t="shared" si="87"/>
        <v>585</v>
      </c>
      <c r="R108" s="18">
        <f t="shared" si="88"/>
        <v>9360</v>
      </c>
      <c r="S108" s="18">
        <f t="shared" si="89"/>
        <v>819</v>
      </c>
      <c r="T108" s="18">
        <f t="shared" si="90"/>
        <v>1170</v>
      </c>
      <c r="U108" s="18">
        <f t="shared" si="91"/>
        <v>14040</v>
      </c>
      <c r="V108" s="18">
        <f t="shared" si="92"/>
        <v>150</v>
      </c>
      <c r="W108" s="30">
        <f t="shared" si="93"/>
        <v>1428</v>
      </c>
    </row>
    <row r="109" spans="1:27" s="1" customFormat="1" ht="21" customHeight="1">
      <c r="A109" s="48" t="s">
        <v>549</v>
      </c>
      <c r="B109" s="18">
        <v>1</v>
      </c>
      <c r="C109" s="18">
        <v>1</v>
      </c>
      <c r="D109" s="18">
        <v>2760</v>
      </c>
      <c r="E109" s="18">
        <f t="shared" si="79"/>
        <v>33120</v>
      </c>
      <c r="F109" s="18">
        <f t="shared" si="80"/>
        <v>1900</v>
      </c>
      <c r="G109" s="18">
        <f t="shared" si="81"/>
        <v>22800</v>
      </c>
      <c r="H109" s="18"/>
      <c r="I109" s="18"/>
      <c r="J109" s="18"/>
      <c r="K109" s="18">
        <f t="shared" si="82"/>
        <v>0</v>
      </c>
      <c r="L109" s="18">
        <f t="shared" si="83"/>
        <v>0</v>
      </c>
      <c r="M109" s="18">
        <f t="shared" si="84"/>
        <v>0</v>
      </c>
      <c r="N109" s="18">
        <f t="shared" si="85"/>
        <v>9389</v>
      </c>
      <c r="O109" s="18">
        <f t="shared" si="86"/>
        <v>4694</v>
      </c>
      <c r="P109" s="18"/>
      <c r="Q109" s="18">
        <f t="shared" si="87"/>
        <v>280</v>
      </c>
      <c r="R109" s="18">
        <f t="shared" si="88"/>
        <v>4474</v>
      </c>
      <c r="S109" s="18">
        <f t="shared" si="89"/>
        <v>391</v>
      </c>
      <c r="T109" s="18">
        <f t="shared" si="90"/>
        <v>559</v>
      </c>
      <c r="U109" s="18">
        <f t="shared" si="91"/>
        <v>6710</v>
      </c>
      <c r="V109" s="18">
        <f t="shared" si="92"/>
        <v>75</v>
      </c>
      <c r="W109" s="30">
        <f t="shared" si="93"/>
        <v>662</v>
      </c>
    </row>
    <row r="110" spans="1:27" s="1" customFormat="1" ht="21" customHeight="1">
      <c r="A110" s="48" t="s">
        <v>550</v>
      </c>
      <c r="B110" s="18"/>
      <c r="C110" s="18">
        <v>2</v>
      </c>
      <c r="D110" s="18">
        <v>5142</v>
      </c>
      <c r="E110" s="18">
        <f t="shared" si="79"/>
        <v>61704</v>
      </c>
      <c r="F110" s="18">
        <f t="shared" si="80"/>
        <v>3800</v>
      </c>
      <c r="G110" s="18">
        <f t="shared" si="81"/>
        <v>45600</v>
      </c>
      <c r="H110" s="18"/>
      <c r="I110" s="18"/>
      <c r="J110" s="18"/>
      <c r="K110" s="18">
        <f t="shared" si="82"/>
        <v>0</v>
      </c>
      <c r="L110" s="18">
        <f t="shared" si="83"/>
        <v>0</v>
      </c>
      <c r="M110" s="18">
        <f t="shared" si="84"/>
        <v>0</v>
      </c>
      <c r="N110" s="18">
        <f t="shared" si="85"/>
        <v>17991</v>
      </c>
      <c r="O110" s="18">
        <f t="shared" si="86"/>
        <v>8996</v>
      </c>
      <c r="P110" s="18"/>
      <c r="Q110" s="18">
        <f t="shared" si="87"/>
        <v>537</v>
      </c>
      <c r="R110" s="18">
        <f t="shared" si="88"/>
        <v>8584</v>
      </c>
      <c r="S110" s="18">
        <f t="shared" si="89"/>
        <v>751</v>
      </c>
      <c r="T110" s="18">
        <f t="shared" si="90"/>
        <v>1073</v>
      </c>
      <c r="U110" s="18">
        <f t="shared" si="91"/>
        <v>12876</v>
      </c>
      <c r="V110" s="18">
        <f t="shared" si="92"/>
        <v>150</v>
      </c>
      <c r="W110" s="30">
        <f t="shared" si="93"/>
        <v>1234</v>
      </c>
    </row>
    <row r="111" spans="1:27" s="3" customFormat="1" ht="21" customHeight="1">
      <c r="A111" s="49" t="s">
        <v>551</v>
      </c>
      <c r="B111" s="50"/>
      <c r="C111" s="50">
        <v>4</v>
      </c>
      <c r="D111" s="50">
        <v>11986</v>
      </c>
      <c r="E111" s="50">
        <f t="shared" si="79"/>
        <v>143832</v>
      </c>
      <c r="F111" s="50">
        <f t="shared" si="80"/>
        <v>7600</v>
      </c>
      <c r="G111" s="50">
        <f t="shared" si="81"/>
        <v>91200</v>
      </c>
      <c r="H111" s="50"/>
      <c r="I111" s="50"/>
      <c r="J111" s="50"/>
      <c r="K111" s="50">
        <f t="shared" si="82"/>
        <v>0</v>
      </c>
      <c r="L111" s="18">
        <f t="shared" si="83"/>
        <v>0</v>
      </c>
      <c r="M111" s="50">
        <f t="shared" si="84"/>
        <v>0</v>
      </c>
      <c r="N111" s="18">
        <f t="shared" si="85"/>
        <v>39523</v>
      </c>
      <c r="O111" s="18">
        <f t="shared" si="86"/>
        <v>19761</v>
      </c>
      <c r="P111" s="50"/>
      <c r="Q111" s="50">
        <f t="shared" si="87"/>
        <v>1175</v>
      </c>
      <c r="R111" s="50">
        <f t="shared" si="88"/>
        <v>18803</v>
      </c>
      <c r="S111" s="18">
        <f t="shared" si="89"/>
        <v>1645</v>
      </c>
      <c r="T111" s="18">
        <f t="shared" si="90"/>
        <v>2350</v>
      </c>
      <c r="U111" s="50">
        <f t="shared" si="91"/>
        <v>28204</v>
      </c>
      <c r="V111" s="18">
        <f t="shared" si="92"/>
        <v>300</v>
      </c>
      <c r="W111" s="55">
        <f t="shared" si="93"/>
        <v>2877</v>
      </c>
    </row>
    <row r="112" spans="1:27" s="1" customFormat="1" ht="21" customHeight="1">
      <c r="A112" s="47" t="s">
        <v>552</v>
      </c>
      <c r="B112" s="18">
        <v>1</v>
      </c>
      <c r="C112" s="18">
        <v>2</v>
      </c>
      <c r="D112" s="18">
        <v>5580</v>
      </c>
      <c r="E112" s="18">
        <f t="shared" si="79"/>
        <v>66960</v>
      </c>
      <c r="F112" s="18">
        <f t="shared" si="80"/>
        <v>3800</v>
      </c>
      <c r="G112" s="18">
        <f t="shared" si="81"/>
        <v>45600</v>
      </c>
      <c r="H112" s="18"/>
      <c r="I112" s="18">
        <v>2</v>
      </c>
      <c r="J112" s="18">
        <v>4706</v>
      </c>
      <c r="K112" s="18">
        <f t="shared" si="82"/>
        <v>56472</v>
      </c>
      <c r="L112" s="18">
        <v>3406</v>
      </c>
      <c r="M112" s="18">
        <f t="shared" si="84"/>
        <v>40872</v>
      </c>
      <c r="N112" s="18">
        <f t="shared" si="85"/>
        <v>18902</v>
      </c>
      <c r="O112" s="18">
        <f t="shared" si="86"/>
        <v>9451</v>
      </c>
      <c r="P112" s="18"/>
      <c r="Q112" s="18">
        <f t="shared" si="87"/>
        <v>563</v>
      </c>
      <c r="R112" s="18">
        <f t="shared" si="88"/>
        <v>9005</v>
      </c>
      <c r="S112" s="18">
        <f t="shared" si="89"/>
        <v>788</v>
      </c>
      <c r="T112" s="18">
        <f t="shared" si="90"/>
        <v>1126</v>
      </c>
      <c r="U112" s="18">
        <f t="shared" si="91"/>
        <v>13507</v>
      </c>
      <c r="V112" s="18">
        <f t="shared" si="92"/>
        <v>300</v>
      </c>
      <c r="W112" s="30">
        <f t="shared" si="93"/>
        <v>2469</v>
      </c>
    </row>
    <row r="113" spans="1:23" s="1" customFormat="1" ht="21" customHeight="1">
      <c r="A113" s="47" t="s">
        <v>553</v>
      </c>
      <c r="B113" s="18"/>
      <c r="C113" s="18"/>
      <c r="D113" s="18"/>
      <c r="E113" s="18">
        <f t="shared" si="79"/>
        <v>0</v>
      </c>
      <c r="F113" s="18">
        <f t="shared" si="80"/>
        <v>0</v>
      </c>
      <c r="G113" s="18">
        <f t="shared" si="81"/>
        <v>0</v>
      </c>
      <c r="H113" s="18"/>
      <c r="I113" s="18"/>
      <c r="J113" s="18"/>
      <c r="K113" s="18">
        <f t="shared" si="82"/>
        <v>0</v>
      </c>
      <c r="L113" s="18">
        <f>1589*I113</f>
        <v>0</v>
      </c>
      <c r="M113" s="18">
        <f t="shared" si="84"/>
        <v>0</v>
      </c>
      <c r="N113" s="18">
        <f t="shared" si="85"/>
        <v>0</v>
      </c>
      <c r="O113" s="18">
        <f t="shared" si="86"/>
        <v>0</v>
      </c>
      <c r="P113" s="18"/>
      <c r="Q113" s="18">
        <f t="shared" si="87"/>
        <v>0</v>
      </c>
      <c r="R113" s="18">
        <f t="shared" si="88"/>
        <v>0</v>
      </c>
      <c r="S113" s="18">
        <f t="shared" si="89"/>
        <v>0</v>
      </c>
      <c r="T113" s="18">
        <f t="shared" si="90"/>
        <v>0</v>
      </c>
      <c r="U113" s="18">
        <f t="shared" si="91"/>
        <v>0</v>
      </c>
      <c r="V113" s="18">
        <f t="shared" si="92"/>
        <v>0</v>
      </c>
      <c r="W113" s="30">
        <f t="shared" si="93"/>
        <v>0</v>
      </c>
    </row>
    <row r="114" spans="1:23" s="1" customFormat="1" ht="21" customHeight="1">
      <c r="A114" s="47" t="s">
        <v>554</v>
      </c>
      <c r="B114" s="18">
        <v>3</v>
      </c>
      <c r="C114" s="18">
        <v>3</v>
      </c>
      <c r="D114" s="18">
        <v>9664</v>
      </c>
      <c r="E114" s="18">
        <f t="shared" si="79"/>
        <v>115968</v>
      </c>
      <c r="F114" s="18">
        <f t="shared" si="80"/>
        <v>5700</v>
      </c>
      <c r="G114" s="18">
        <f t="shared" si="81"/>
        <v>68400</v>
      </c>
      <c r="H114" s="18"/>
      <c r="I114" s="18"/>
      <c r="J114" s="18"/>
      <c r="K114" s="18">
        <f t="shared" si="82"/>
        <v>0</v>
      </c>
      <c r="L114" s="18">
        <f>1589*I114</f>
        <v>0</v>
      </c>
      <c r="M114" s="18">
        <f t="shared" si="84"/>
        <v>0</v>
      </c>
      <c r="N114" s="18">
        <f t="shared" si="85"/>
        <v>31045</v>
      </c>
      <c r="O114" s="18">
        <f t="shared" si="86"/>
        <v>15523</v>
      </c>
      <c r="P114" s="18"/>
      <c r="Q114" s="18">
        <f t="shared" si="87"/>
        <v>922</v>
      </c>
      <c r="R114" s="18">
        <f t="shared" si="88"/>
        <v>14749</v>
      </c>
      <c r="S114" s="18">
        <f t="shared" si="89"/>
        <v>1291</v>
      </c>
      <c r="T114" s="18">
        <f t="shared" si="90"/>
        <v>1844</v>
      </c>
      <c r="U114" s="18">
        <f t="shared" si="91"/>
        <v>22124</v>
      </c>
      <c r="V114" s="18">
        <f t="shared" si="92"/>
        <v>225</v>
      </c>
      <c r="W114" s="30">
        <f t="shared" si="93"/>
        <v>2319</v>
      </c>
    </row>
    <row r="115" spans="1:23" s="1" customFormat="1" ht="21" customHeight="1">
      <c r="A115" s="47" t="s">
        <v>555</v>
      </c>
      <c r="B115" s="18">
        <v>2</v>
      </c>
      <c r="C115" s="18">
        <v>2</v>
      </c>
      <c r="D115" s="18">
        <v>5566</v>
      </c>
      <c r="E115" s="18">
        <f t="shared" si="79"/>
        <v>66792</v>
      </c>
      <c r="F115" s="18">
        <f t="shared" si="80"/>
        <v>3800</v>
      </c>
      <c r="G115" s="18">
        <f t="shared" si="81"/>
        <v>45600</v>
      </c>
      <c r="H115" s="18"/>
      <c r="I115" s="18"/>
      <c r="J115" s="18"/>
      <c r="K115" s="18">
        <f t="shared" si="82"/>
        <v>0</v>
      </c>
      <c r="L115" s="18">
        <f>1589*I115</f>
        <v>0</v>
      </c>
      <c r="M115" s="18">
        <f t="shared" si="84"/>
        <v>0</v>
      </c>
      <c r="N115" s="18">
        <f t="shared" si="85"/>
        <v>18873</v>
      </c>
      <c r="O115" s="18">
        <f t="shared" si="86"/>
        <v>9437</v>
      </c>
      <c r="P115" s="18"/>
      <c r="Q115" s="18">
        <f t="shared" si="87"/>
        <v>562</v>
      </c>
      <c r="R115" s="18">
        <f t="shared" si="88"/>
        <v>8991</v>
      </c>
      <c r="S115" s="18">
        <f t="shared" si="89"/>
        <v>787</v>
      </c>
      <c r="T115" s="18">
        <f t="shared" si="90"/>
        <v>1124</v>
      </c>
      <c r="U115" s="18">
        <f t="shared" si="91"/>
        <v>13487</v>
      </c>
      <c r="V115" s="18">
        <f t="shared" si="92"/>
        <v>150</v>
      </c>
      <c r="W115" s="30">
        <f t="shared" si="93"/>
        <v>1336</v>
      </c>
    </row>
    <row r="116" spans="1:23" s="1" customFormat="1" ht="21" customHeight="1">
      <c r="A116" s="47" t="s">
        <v>556</v>
      </c>
      <c r="B116" s="18">
        <v>12</v>
      </c>
      <c r="C116" s="18">
        <v>12</v>
      </c>
      <c r="D116" s="18">
        <v>37430</v>
      </c>
      <c r="E116" s="18">
        <f t="shared" si="79"/>
        <v>449160</v>
      </c>
      <c r="F116" s="18">
        <f t="shared" si="80"/>
        <v>22800</v>
      </c>
      <c r="G116" s="18">
        <f t="shared" si="81"/>
        <v>273600</v>
      </c>
      <c r="H116" s="18">
        <v>1</v>
      </c>
      <c r="I116" s="18">
        <v>1</v>
      </c>
      <c r="J116" s="18">
        <v>1620</v>
      </c>
      <c r="K116" s="18">
        <f t="shared" si="82"/>
        <v>19440</v>
      </c>
      <c r="L116" s="18">
        <v>1636</v>
      </c>
      <c r="M116" s="18">
        <f t="shared" si="84"/>
        <v>19632</v>
      </c>
      <c r="N116" s="18">
        <f t="shared" si="85"/>
        <v>121630</v>
      </c>
      <c r="O116" s="18">
        <f t="shared" si="86"/>
        <v>60815</v>
      </c>
      <c r="P116" s="18"/>
      <c r="Q116" s="18">
        <f t="shared" si="87"/>
        <v>3614</v>
      </c>
      <c r="R116" s="18">
        <f t="shared" si="88"/>
        <v>57821</v>
      </c>
      <c r="S116" s="18">
        <f t="shared" si="89"/>
        <v>5059</v>
      </c>
      <c r="T116" s="18">
        <f t="shared" si="90"/>
        <v>7228</v>
      </c>
      <c r="U116" s="18">
        <f t="shared" si="91"/>
        <v>86731</v>
      </c>
      <c r="V116" s="18">
        <f t="shared" si="92"/>
        <v>975</v>
      </c>
      <c r="W116" s="30">
        <f t="shared" si="93"/>
        <v>9372</v>
      </c>
    </row>
    <row r="117" spans="1:23" s="1" customFormat="1" ht="21" customHeight="1">
      <c r="A117" s="15" t="s">
        <v>557</v>
      </c>
      <c r="B117" s="16">
        <v>4</v>
      </c>
      <c r="C117" s="16">
        <v>6</v>
      </c>
      <c r="D117" s="17">
        <v>18028</v>
      </c>
      <c r="E117" s="18">
        <f t="shared" si="79"/>
        <v>216336</v>
      </c>
      <c r="F117" s="18">
        <f t="shared" si="80"/>
        <v>11400</v>
      </c>
      <c r="G117" s="18">
        <f t="shared" si="81"/>
        <v>136800</v>
      </c>
      <c r="H117" s="19"/>
      <c r="I117" s="19"/>
      <c r="J117" s="29"/>
      <c r="K117" s="30">
        <f t="shared" si="82"/>
        <v>0</v>
      </c>
      <c r="L117" s="18">
        <f>1589*I117</f>
        <v>0</v>
      </c>
      <c r="M117" s="18">
        <f t="shared" si="84"/>
        <v>0</v>
      </c>
      <c r="N117" s="18">
        <f t="shared" si="85"/>
        <v>59386</v>
      </c>
      <c r="O117" s="18">
        <f t="shared" si="86"/>
        <v>29693</v>
      </c>
      <c r="P117" s="18"/>
      <c r="Q117" s="18">
        <f t="shared" si="87"/>
        <v>1766</v>
      </c>
      <c r="R117" s="18">
        <f t="shared" si="88"/>
        <v>28251</v>
      </c>
      <c r="S117" s="18">
        <f t="shared" si="89"/>
        <v>2472</v>
      </c>
      <c r="T117" s="18">
        <f t="shared" si="90"/>
        <v>3531</v>
      </c>
      <c r="U117" s="18">
        <f t="shared" si="91"/>
        <v>42376</v>
      </c>
      <c r="V117" s="18">
        <f t="shared" si="92"/>
        <v>450</v>
      </c>
      <c r="W117" s="30">
        <f t="shared" si="93"/>
        <v>4327</v>
      </c>
    </row>
    <row r="118" spans="1:23" s="1" customFormat="1" ht="21" customHeight="1">
      <c r="A118" s="51" t="s">
        <v>558</v>
      </c>
      <c r="B118" s="18">
        <v>15</v>
      </c>
      <c r="C118" s="18">
        <v>16</v>
      </c>
      <c r="D118" s="18">
        <v>80293</v>
      </c>
      <c r="E118" s="18">
        <f t="shared" si="79"/>
        <v>963516</v>
      </c>
      <c r="F118" s="18">
        <f t="shared" si="80"/>
        <v>30400</v>
      </c>
      <c r="G118" s="18">
        <f t="shared" si="81"/>
        <v>364800</v>
      </c>
      <c r="H118" s="18">
        <v>17</v>
      </c>
      <c r="I118" s="18">
        <v>16</v>
      </c>
      <c r="J118" s="18">
        <v>50784</v>
      </c>
      <c r="K118" s="18">
        <f t="shared" si="82"/>
        <v>609408</v>
      </c>
      <c r="L118" s="18">
        <v>32392</v>
      </c>
      <c r="M118" s="18">
        <f t="shared" si="84"/>
        <v>388704</v>
      </c>
      <c r="N118" s="18">
        <f t="shared" si="85"/>
        <v>225377</v>
      </c>
      <c r="O118" s="18">
        <f t="shared" si="86"/>
        <v>112689</v>
      </c>
      <c r="P118" s="18"/>
      <c r="Q118" s="18">
        <f t="shared" si="87"/>
        <v>6642</v>
      </c>
      <c r="R118" s="18">
        <f t="shared" si="88"/>
        <v>106265</v>
      </c>
      <c r="S118" s="18">
        <f t="shared" si="89"/>
        <v>9298</v>
      </c>
      <c r="T118" s="18">
        <f t="shared" si="90"/>
        <v>13283</v>
      </c>
      <c r="U118" s="18">
        <f t="shared" si="91"/>
        <v>159398</v>
      </c>
      <c r="V118" s="18">
        <f t="shared" si="92"/>
        <v>2400</v>
      </c>
      <c r="W118" s="30">
        <f t="shared" si="93"/>
        <v>31458</v>
      </c>
    </row>
    <row r="119" spans="1:23" s="1" customFormat="1" ht="21" customHeight="1">
      <c r="A119" s="52" t="s">
        <v>559</v>
      </c>
      <c r="B119" s="18">
        <v>2</v>
      </c>
      <c r="C119" s="18">
        <v>2</v>
      </c>
      <c r="D119" s="18">
        <v>5800</v>
      </c>
      <c r="E119" s="18">
        <f t="shared" si="79"/>
        <v>69600</v>
      </c>
      <c r="F119" s="18">
        <f t="shared" si="80"/>
        <v>3800</v>
      </c>
      <c r="G119" s="18">
        <f t="shared" si="81"/>
        <v>45600</v>
      </c>
      <c r="H119" s="18"/>
      <c r="I119" s="18"/>
      <c r="J119" s="18"/>
      <c r="K119" s="18">
        <f t="shared" si="82"/>
        <v>0</v>
      </c>
      <c r="L119" s="18">
        <f>1589*I119</f>
        <v>0</v>
      </c>
      <c r="M119" s="18">
        <f t="shared" si="84"/>
        <v>0</v>
      </c>
      <c r="N119" s="18">
        <f t="shared" si="85"/>
        <v>19360</v>
      </c>
      <c r="O119" s="18">
        <f t="shared" si="86"/>
        <v>9680</v>
      </c>
      <c r="P119" s="18"/>
      <c r="Q119" s="18">
        <f t="shared" si="87"/>
        <v>576</v>
      </c>
      <c r="R119" s="18">
        <f t="shared" si="88"/>
        <v>9216</v>
      </c>
      <c r="S119" s="18">
        <f t="shared" si="89"/>
        <v>806</v>
      </c>
      <c r="T119" s="18">
        <f t="shared" si="90"/>
        <v>1152</v>
      </c>
      <c r="U119" s="18">
        <f t="shared" si="91"/>
        <v>13824</v>
      </c>
      <c r="V119" s="18">
        <f t="shared" si="92"/>
        <v>150</v>
      </c>
      <c r="W119" s="30">
        <f t="shared" si="93"/>
        <v>1392</v>
      </c>
    </row>
    <row r="120" spans="1:23" s="1" customFormat="1" ht="21" customHeight="1">
      <c r="A120" s="53" t="s">
        <v>560</v>
      </c>
      <c r="B120" s="18">
        <v>5</v>
      </c>
      <c r="C120" s="18">
        <v>5</v>
      </c>
      <c r="D120" s="18">
        <v>16530</v>
      </c>
      <c r="E120" s="18">
        <f t="shared" si="79"/>
        <v>198360</v>
      </c>
      <c r="F120" s="18">
        <f t="shared" si="80"/>
        <v>9500</v>
      </c>
      <c r="G120" s="18">
        <f t="shared" si="81"/>
        <v>114000</v>
      </c>
      <c r="H120" s="18">
        <v>3</v>
      </c>
      <c r="I120" s="18">
        <v>3</v>
      </c>
      <c r="J120" s="18">
        <v>7356</v>
      </c>
      <c r="K120" s="18">
        <f t="shared" si="82"/>
        <v>88272</v>
      </c>
      <c r="L120" s="18">
        <v>5718</v>
      </c>
      <c r="M120" s="18">
        <f t="shared" si="84"/>
        <v>68616</v>
      </c>
      <c r="N120" s="18">
        <f t="shared" si="85"/>
        <v>52622</v>
      </c>
      <c r="O120" s="18">
        <f t="shared" si="86"/>
        <v>26311</v>
      </c>
      <c r="P120" s="18"/>
      <c r="Q120" s="18">
        <f t="shared" si="87"/>
        <v>1562</v>
      </c>
      <c r="R120" s="18">
        <f t="shared" si="88"/>
        <v>24989</v>
      </c>
      <c r="S120" s="18">
        <f t="shared" si="89"/>
        <v>2187</v>
      </c>
      <c r="T120" s="18">
        <f t="shared" si="90"/>
        <v>3124</v>
      </c>
      <c r="U120" s="18">
        <f t="shared" si="91"/>
        <v>37483</v>
      </c>
      <c r="V120" s="18">
        <f t="shared" si="92"/>
        <v>600</v>
      </c>
      <c r="W120" s="30">
        <f t="shared" si="93"/>
        <v>5733</v>
      </c>
    </row>
    <row r="121" spans="1:23" ht="21" customHeight="1">
      <c r="A121" s="53" t="s">
        <v>561</v>
      </c>
      <c r="B121" s="18">
        <v>2</v>
      </c>
      <c r="C121" s="18">
        <v>2</v>
      </c>
      <c r="D121" s="18">
        <v>5574</v>
      </c>
      <c r="E121" s="18">
        <f t="shared" si="79"/>
        <v>66888</v>
      </c>
      <c r="F121" s="18">
        <f t="shared" si="80"/>
        <v>3800</v>
      </c>
      <c r="G121" s="18">
        <f t="shared" si="81"/>
        <v>45600</v>
      </c>
      <c r="H121" s="18">
        <v>1</v>
      </c>
      <c r="I121" s="18">
        <v>1</v>
      </c>
      <c r="J121" s="30">
        <v>1340</v>
      </c>
      <c r="K121" s="30">
        <f t="shared" si="82"/>
        <v>16080</v>
      </c>
      <c r="L121" s="18">
        <v>1703</v>
      </c>
      <c r="M121" s="30">
        <f t="shared" si="84"/>
        <v>20436</v>
      </c>
      <c r="N121" s="18">
        <f t="shared" si="85"/>
        <v>18890</v>
      </c>
      <c r="O121" s="18">
        <f t="shared" si="86"/>
        <v>9445</v>
      </c>
      <c r="P121" s="18"/>
      <c r="Q121" s="18">
        <f t="shared" si="87"/>
        <v>562</v>
      </c>
      <c r="R121" s="18">
        <f t="shared" si="88"/>
        <v>8999</v>
      </c>
      <c r="S121" s="18">
        <f t="shared" si="89"/>
        <v>787</v>
      </c>
      <c r="T121" s="18">
        <f t="shared" si="90"/>
        <v>1125</v>
      </c>
      <c r="U121" s="18">
        <f t="shared" si="91"/>
        <v>13499</v>
      </c>
      <c r="V121" s="18">
        <f t="shared" si="92"/>
        <v>225</v>
      </c>
      <c r="W121" s="30">
        <f t="shared" si="93"/>
        <v>1659</v>
      </c>
    </row>
    <row r="122" spans="1:23" ht="21" customHeight="1">
      <c r="A122" s="53" t="s">
        <v>562</v>
      </c>
      <c r="B122" s="18">
        <v>10</v>
      </c>
      <c r="C122" s="18">
        <v>20</v>
      </c>
      <c r="D122" s="18">
        <v>50809</v>
      </c>
      <c r="E122" s="18">
        <f t="shared" si="79"/>
        <v>609708</v>
      </c>
      <c r="F122" s="18">
        <f t="shared" si="80"/>
        <v>38000</v>
      </c>
      <c r="G122" s="18">
        <f t="shared" si="81"/>
        <v>456000</v>
      </c>
      <c r="H122" s="18">
        <v>15</v>
      </c>
      <c r="I122" s="18">
        <v>10</v>
      </c>
      <c r="J122" s="30">
        <v>30911</v>
      </c>
      <c r="K122" s="30">
        <f t="shared" si="82"/>
        <v>370932</v>
      </c>
      <c r="L122" s="18">
        <v>25545</v>
      </c>
      <c r="M122" s="30">
        <f t="shared" si="84"/>
        <v>306540</v>
      </c>
      <c r="N122" s="18">
        <f t="shared" si="85"/>
        <v>178643</v>
      </c>
      <c r="O122" s="18">
        <f t="shared" si="86"/>
        <v>89321</v>
      </c>
      <c r="P122" s="18"/>
      <c r="Q122" s="18">
        <f t="shared" si="87"/>
        <v>5329</v>
      </c>
      <c r="R122" s="18">
        <f t="shared" si="88"/>
        <v>85257</v>
      </c>
      <c r="S122" s="18">
        <f t="shared" si="89"/>
        <v>7460</v>
      </c>
      <c r="T122" s="18">
        <f t="shared" si="90"/>
        <v>10657</v>
      </c>
      <c r="U122" s="18">
        <f t="shared" si="91"/>
        <v>127885</v>
      </c>
      <c r="V122" s="18">
        <f t="shared" si="92"/>
        <v>2250</v>
      </c>
      <c r="W122" s="30">
        <f t="shared" si="93"/>
        <v>19613</v>
      </c>
    </row>
    <row r="123" spans="1:23" ht="21" customHeight="1">
      <c r="A123" s="53" t="s">
        <v>563</v>
      </c>
      <c r="B123" s="18">
        <v>3</v>
      </c>
      <c r="C123" s="18">
        <v>3</v>
      </c>
      <c r="D123" s="18">
        <v>8764</v>
      </c>
      <c r="E123" s="18">
        <f t="shared" si="79"/>
        <v>105168</v>
      </c>
      <c r="F123" s="18">
        <f t="shared" si="80"/>
        <v>5700</v>
      </c>
      <c r="G123" s="18">
        <f t="shared" si="81"/>
        <v>68400</v>
      </c>
      <c r="H123" s="18">
        <v>1</v>
      </c>
      <c r="I123" s="18"/>
      <c r="J123" s="30"/>
      <c r="K123" s="18">
        <f t="shared" si="82"/>
        <v>0</v>
      </c>
      <c r="L123" s="18"/>
      <c r="M123" s="18">
        <f t="shared" si="84"/>
        <v>0</v>
      </c>
      <c r="N123" s="18">
        <f t="shared" si="85"/>
        <v>29173</v>
      </c>
      <c r="O123" s="18">
        <f t="shared" si="86"/>
        <v>14587</v>
      </c>
      <c r="P123" s="18"/>
      <c r="Q123" s="18">
        <f t="shared" si="87"/>
        <v>868</v>
      </c>
      <c r="R123" s="18">
        <f t="shared" si="88"/>
        <v>13885</v>
      </c>
      <c r="S123" s="18">
        <f t="shared" si="89"/>
        <v>1215</v>
      </c>
      <c r="T123" s="18">
        <f t="shared" si="90"/>
        <v>1736</v>
      </c>
      <c r="U123" s="18">
        <f t="shared" si="91"/>
        <v>20828</v>
      </c>
      <c r="V123" s="18">
        <f t="shared" si="92"/>
        <v>225</v>
      </c>
      <c r="W123" s="30">
        <f t="shared" si="93"/>
        <v>2103</v>
      </c>
    </row>
    <row r="124" spans="1:23" ht="24" customHeight="1">
      <c r="A124" s="53" t="s">
        <v>564</v>
      </c>
      <c r="B124" s="18">
        <v>4</v>
      </c>
      <c r="C124" s="18">
        <v>4</v>
      </c>
      <c r="D124" s="18">
        <v>9746</v>
      </c>
      <c r="E124" s="18">
        <f t="shared" si="79"/>
        <v>116952</v>
      </c>
      <c r="F124" s="18">
        <f t="shared" si="80"/>
        <v>7600</v>
      </c>
      <c r="G124" s="18">
        <f t="shared" si="81"/>
        <v>91200</v>
      </c>
      <c r="H124" s="18"/>
      <c r="I124" s="18"/>
      <c r="J124" s="30"/>
      <c r="K124" s="18">
        <f t="shared" si="82"/>
        <v>0</v>
      </c>
      <c r="L124" s="18"/>
      <c r="M124" s="18">
        <f t="shared" si="84"/>
        <v>0</v>
      </c>
      <c r="N124" s="18">
        <f t="shared" si="85"/>
        <v>34864</v>
      </c>
      <c r="O124" s="18">
        <f t="shared" si="86"/>
        <v>17432</v>
      </c>
      <c r="P124" s="18"/>
      <c r="Q124" s="18">
        <f t="shared" si="87"/>
        <v>1041</v>
      </c>
      <c r="R124" s="18">
        <f t="shared" si="88"/>
        <v>16652</v>
      </c>
      <c r="S124" s="18">
        <f t="shared" si="89"/>
        <v>1457</v>
      </c>
      <c r="T124" s="18">
        <f t="shared" si="90"/>
        <v>2082</v>
      </c>
      <c r="U124" s="18">
        <f t="shared" si="91"/>
        <v>24978</v>
      </c>
      <c r="V124" s="18">
        <f t="shared" si="92"/>
        <v>300</v>
      </c>
      <c r="W124" s="30">
        <f t="shared" si="93"/>
        <v>2339</v>
      </c>
    </row>
    <row r="125" spans="1:23" ht="24" customHeight="1">
      <c r="A125" s="53" t="s">
        <v>509</v>
      </c>
      <c r="B125" s="18">
        <v>3</v>
      </c>
      <c r="C125" s="18">
        <v>3</v>
      </c>
      <c r="D125" s="18">
        <v>6478</v>
      </c>
      <c r="E125" s="18">
        <f t="shared" si="79"/>
        <v>77736</v>
      </c>
      <c r="F125" s="18">
        <f t="shared" si="80"/>
        <v>5700</v>
      </c>
      <c r="G125" s="18">
        <f t="shared" si="81"/>
        <v>68400</v>
      </c>
      <c r="H125" s="18"/>
      <c r="I125" s="18"/>
      <c r="J125" s="30"/>
      <c r="K125" s="18">
        <f t="shared" si="82"/>
        <v>0</v>
      </c>
      <c r="L125" s="18"/>
      <c r="M125" s="18">
        <f t="shared" si="84"/>
        <v>0</v>
      </c>
      <c r="N125" s="18">
        <f t="shared" si="85"/>
        <v>24418</v>
      </c>
      <c r="O125" s="18">
        <f t="shared" si="86"/>
        <v>12209</v>
      </c>
      <c r="P125" s="18"/>
      <c r="Q125" s="18">
        <f t="shared" si="87"/>
        <v>731</v>
      </c>
      <c r="R125" s="18">
        <f t="shared" si="88"/>
        <v>11691</v>
      </c>
      <c r="S125" s="18">
        <f t="shared" si="89"/>
        <v>1023</v>
      </c>
      <c r="T125" s="18">
        <f t="shared" si="90"/>
        <v>1461</v>
      </c>
      <c r="U125" s="18">
        <f t="shared" si="91"/>
        <v>17536</v>
      </c>
      <c r="V125" s="18">
        <f t="shared" si="92"/>
        <v>225</v>
      </c>
      <c r="W125" s="30">
        <f t="shared" si="93"/>
        <v>1555</v>
      </c>
    </row>
    <row r="126" spans="1:23" ht="21" customHeight="1">
      <c r="A126" s="15" t="s">
        <v>565</v>
      </c>
      <c r="B126" s="18">
        <v>9</v>
      </c>
      <c r="C126" s="18">
        <v>3</v>
      </c>
      <c r="D126" s="18">
        <v>10358</v>
      </c>
      <c r="E126" s="18">
        <f t="shared" si="79"/>
        <v>124296</v>
      </c>
      <c r="F126" s="18">
        <f t="shared" si="80"/>
        <v>5700</v>
      </c>
      <c r="G126" s="18">
        <f t="shared" si="81"/>
        <v>68400</v>
      </c>
      <c r="H126" s="18">
        <v>3</v>
      </c>
      <c r="I126" s="18"/>
      <c r="J126" s="30"/>
      <c r="K126" s="18">
        <f t="shared" si="82"/>
        <v>0</v>
      </c>
      <c r="L126" s="18"/>
      <c r="M126" s="18">
        <f t="shared" si="84"/>
        <v>0</v>
      </c>
      <c r="N126" s="18">
        <f t="shared" si="85"/>
        <v>32489</v>
      </c>
      <c r="O126" s="18">
        <f t="shared" si="86"/>
        <v>16244</v>
      </c>
      <c r="P126" s="18"/>
      <c r="Q126" s="18">
        <f t="shared" si="87"/>
        <v>963</v>
      </c>
      <c r="R126" s="18">
        <f t="shared" si="88"/>
        <v>15416</v>
      </c>
      <c r="S126" s="18">
        <f t="shared" si="89"/>
        <v>1349</v>
      </c>
      <c r="T126" s="18">
        <f t="shared" si="90"/>
        <v>1927</v>
      </c>
      <c r="U126" s="18">
        <f t="shared" si="91"/>
        <v>23124</v>
      </c>
      <c r="V126" s="18">
        <f t="shared" si="92"/>
        <v>225</v>
      </c>
      <c r="W126" s="30">
        <f t="shared" si="93"/>
        <v>2486</v>
      </c>
    </row>
    <row r="127" spans="1:23" ht="21" customHeight="1">
      <c r="A127" s="15" t="s">
        <v>566</v>
      </c>
      <c r="B127" s="18">
        <v>13</v>
      </c>
      <c r="C127" s="18">
        <v>5</v>
      </c>
      <c r="D127" s="18">
        <v>13439</v>
      </c>
      <c r="E127" s="18">
        <f t="shared" si="79"/>
        <v>161268</v>
      </c>
      <c r="F127" s="18">
        <f t="shared" si="80"/>
        <v>9500</v>
      </c>
      <c r="G127" s="18">
        <f t="shared" si="81"/>
        <v>114000</v>
      </c>
      <c r="H127" s="33">
        <v>12</v>
      </c>
      <c r="I127" s="33">
        <v>3</v>
      </c>
      <c r="J127" s="30">
        <v>5970</v>
      </c>
      <c r="K127" s="18">
        <f t="shared" si="82"/>
        <v>71640</v>
      </c>
      <c r="L127" s="18">
        <v>5109</v>
      </c>
      <c r="M127" s="18">
        <f t="shared" si="84"/>
        <v>61308</v>
      </c>
      <c r="N127" s="18">
        <f t="shared" si="85"/>
        <v>46193</v>
      </c>
      <c r="O127" s="18">
        <f t="shared" si="86"/>
        <v>23097</v>
      </c>
      <c r="P127" s="18"/>
      <c r="Q127" s="18">
        <f t="shared" si="87"/>
        <v>1376</v>
      </c>
      <c r="R127" s="18">
        <f t="shared" si="88"/>
        <v>22021</v>
      </c>
      <c r="S127" s="18">
        <f t="shared" si="89"/>
        <v>1927</v>
      </c>
      <c r="T127" s="18">
        <f t="shared" si="90"/>
        <v>2753</v>
      </c>
      <c r="U127" s="18">
        <f t="shared" si="91"/>
        <v>33032</v>
      </c>
      <c r="V127" s="18">
        <f t="shared" si="92"/>
        <v>600</v>
      </c>
      <c r="W127" s="30">
        <f t="shared" si="93"/>
        <v>4658</v>
      </c>
    </row>
    <row r="128" spans="1:23" s="1" customFormat="1" ht="21" customHeight="1">
      <c r="A128" s="45" t="s">
        <v>567</v>
      </c>
      <c r="B128" s="18">
        <v>18</v>
      </c>
      <c r="C128" s="18">
        <v>17</v>
      </c>
      <c r="D128" s="18">
        <v>48755</v>
      </c>
      <c r="E128" s="18">
        <f t="shared" si="79"/>
        <v>585060</v>
      </c>
      <c r="F128" s="18">
        <f t="shared" si="80"/>
        <v>32300</v>
      </c>
      <c r="G128" s="18">
        <f t="shared" si="81"/>
        <v>387600</v>
      </c>
      <c r="H128" s="18">
        <v>23</v>
      </c>
      <c r="I128" s="18">
        <v>24</v>
      </c>
      <c r="J128" s="18">
        <v>48857</v>
      </c>
      <c r="K128" s="18">
        <f t="shared" si="82"/>
        <v>586284</v>
      </c>
      <c r="L128" s="18">
        <v>39694</v>
      </c>
      <c r="M128" s="18">
        <f t="shared" si="84"/>
        <v>476328</v>
      </c>
      <c r="N128" s="18">
        <f t="shared" si="85"/>
        <v>163426</v>
      </c>
      <c r="O128" s="18">
        <f t="shared" si="86"/>
        <v>81713</v>
      </c>
      <c r="P128" s="18"/>
      <c r="Q128" s="18">
        <f t="shared" si="87"/>
        <v>4863</v>
      </c>
      <c r="R128" s="18">
        <f t="shared" si="88"/>
        <v>77813</v>
      </c>
      <c r="S128" s="18">
        <f t="shared" si="89"/>
        <v>6809</v>
      </c>
      <c r="T128" s="18">
        <f t="shared" si="90"/>
        <v>9727</v>
      </c>
      <c r="U128" s="18">
        <f t="shared" si="91"/>
        <v>116719</v>
      </c>
      <c r="V128" s="18">
        <f t="shared" si="92"/>
        <v>3075</v>
      </c>
      <c r="W128" s="30">
        <f t="shared" si="93"/>
        <v>23427</v>
      </c>
    </row>
    <row r="129" spans="1:27" ht="21" customHeight="1">
      <c r="A129" s="15" t="s">
        <v>568</v>
      </c>
      <c r="B129" s="18">
        <v>4</v>
      </c>
      <c r="C129" s="18"/>
      <c r="D129" s="18"/>
      <c r="E129" s="18">
        <f t="shared" si="79"/>
        <v>0</v>
      </c>
      <c r="F129" s="18">
        <f t="shared" si="80"/>
        <v>0</v>
      </c>
      <c r="G129" s="18">
        <f t="shared" si="81"/>
        <v>0</v>
      </c>
      <c r="H129" s="33">
        <v>4</v>
      </c>
      <c r="I129" s="33"/>
      <c r="J129" s="30"/>
      <c r="K129" s="18">
        <f t="shared" si="82"/>
        <v>0</v>
      </c>
      <c r="L129" s="18">
        <f>1589*I129</f>
        <v>0</v>
      </c>
      <c r="M129" s="18">
        <f t="shared" si="84"/>
        <v>0</v>
      </c>
      <c r="N129" s="18">
        <f t="shared" si="85"/>
        <v>0</v>
      </c>
      <c r="O129" s="18">
        <f t="shared" si="86"/>
        <v>0</v>
      </c>
      <c r="P129" s="18"/>
      <c r="Q129" s="18">
        <f t="shared" si="87"/>
        <v>0</v>
      </c>
      <c r="R129" s="18">
        <f>ROUND((E128+G128)*0.08,0)</f>
        <v>77813</v>
      </c>
      <c r="S129" s="18">
        <f t="shared" si="89"/>
        <v>0</v>
      </c>
      <c r="T129" s="18">
        <f t="shared" si="90"/>
        <v>0</v>
      </c>
      <c r="U129" s="18">
        <f t="shared" si="91"/>
        <v>0</v>
      </c>
      <c r="V129" s="18">
        <f t="shared" si="92"/>
        <v>0</v>
      </c>
      <c r="W129" s="30">
        <f t="shared" si="93"/>
        <v>0</v>
      </c>
    </row>
    <row r="130" spans="1:27" ht="21" customHeight="1">
      <c r="A130" s="15" t="s">
        <v>569</v>
      </c>
      <c r="B130" s="18">
        <v>1</v>
      </c>
      <c r="C130" s="18">
        <v>1</v>
      </c>
      <c r="D130" s="18">
        <v>2699</v>
      </c>
      <c r="E130" s="18">
        <f t="shared" si="79"/>
        <v>32388</v>
      </c>
      <c r="F130" s="18">
        <f t="shared" si="80"/>
        <v>1900</v>
      </c>
      <c r="G130" s="18">
        <f t="shared" si="81"/>
        <v>22800</v>
      </c>
      <c r="H130" s="18"/>
      <c r="I130" s="18"/>
      <c r="J130" s="30"/>
      <c r="K130" s="18">
        <f t="shared" si="82"/>
        <v>0</v>
      </c>
      <c r="L130" s="18">
        <f>1589*I130</f>
        <v>0</v>
      </c>
      <c r="M130" s="18">
        <f t="shared" si="84"/>
        <v>0</v>
      </c>
      <c r="N130" s="18">
        <f t="shared" si="85"/>
        <v>9262</v>
      </c>
      <c r="O130" s="18">
        <f t="shared" si="86"/>
        <v>4631</v>
      </c>
      <c r="P130" s="18"/>
      <c r="Q130" s="18">
        <f t="shared" si="87"/>
        <v>276</v>
      </c>
      <c r="R130" s="18">
        <f t="shared" ref="R130:R137" si="94">ROUND((E130+G130)*0.08,0)</f>
        <v>4415</v>
      </c>
      <c r="S130" s="18">
        <f t="shared" si="89"/>
        <v>386</v>
      </c>
      <c r="T130" s="18">
        <f t="shared" si="90"/>
        <v>552</v>
      </c>
      <c r="U130" s="18">
        <f t="shared" si="91"/>
        <v>6623</v>
      </c>
      <c r="V130" s="18">
        <f t="shared" si="92"/>
        <v>75</v>
      </c>
      <c r="W130" s="30">
        <f t="shared" si="93"/>
        <v>648</v>
      </c>
    </row>
    <row r="131" spans="1:27" s="1" customFormat="1" ht="21" customHeight="1">
      <c r="A131" s="45" t="s">
        <v>570</v>
      </c>
      <c r="B131" s="18">
        <v>5</v>
      </c>
      <c r="C131" s="18">
        <v>5</v>
      </c>
      <c r="D131" s="18">
        <v>14512</v>
      </c>
      <c r="E131" s="18">
        <f t="shared" si="79"/>
        <v>174144</v>
      </c>
      <c r="F131" s="18">
        <f t="shared" si="80"/>
        <v>9500</v>
      </c>
      <c r="G131" s="18">
        <f t="shared" si="81"/>
        <v>114000</v>
      </c>
      <c r="H131" s="18">
        <v>3</v>
      </c>
      <c r="I131" s="18">
        <v>3</v>
      </c>
      <c r="J131" s="18">
        <v>6073</v>
      </c>
      <c r="K131" s="18">
        <f t="shared" si="82"/>
        <v>72876</v>
      </c>
      <c r="L131" s="18">
        <v>4908</v>
      </c>
      <c r="M131" s="18">
        <f t="shared" si="84"/>
        <v>58896</v>
      </c>
      <c r="N131" s="18">
        <f t="shared" si="85"/>
        <v>48425</v>
      </c>
      <c r="O131" s="18">
        <f t="shared" si="86"/>
        <v>24212</v>
      </c>
      <c r="P131" s="18"/>
      <c r="Q131" s="18">
        <f t="shared" si="87"/>
        <v>1441</v>
      </c>
      <c r="R131" s="18">
        <f t="shared" si="94"/>
        <v>23052</v>
      </c>
      <c r="S131" s="18">
        <f t="shared" si="89"/>
        <v>2017</v>
      </c>
      <c r="T131" s="18">
        <f t="shared" si="90"/>
        <v>2881</v>
      </c>
      <c r="U131" s="18">
        <f t="shared" si="91"/>
        <v>34577</v>
      </c>
      <c r="V131" s="18">
        <f t="shared" si="92"/>
        <v>600</v>
      </c>
      <c r="W131" s="30">
        <f t="shared" si="93"/>
        <v>4940</v>
      </c>
      <c r="AA131" s="56"/>
    </row>
    <row r="132" spans="1:27" s="4" customFormat="1" ht="21" customHeight="1">
      <c r="A132" s="57" t="s">
        <v>571</v>
      </c>
      <c r="B132" s="58">
        <v>38</v>
      </c>
      <c r="C132" s="58">
        <v>35</v>
      </c>
      <c r="D132" s="58">
        <v>98862</v>
      </c>
      <c r="E132" s="58">
        <f t="shared" si="79"/>
        <v>1186344</v>
      </c>
      <c r="F132" s="18">
        <f t="shared" si="80"/>
        <v>66500</v>
      </c>
      <c r="G132" s="58">
        <f t="shared" si="81"/>
        <v>798000</v>
      </c>
      <c r="H132" s="18">
        <v>4</v>
      </c>
      <c r="I132" s="18">
        <v>5</v>
      </c>
      <c r="J132" s="18">
        <v>9189.3700000000008</v>
      </c>
      <c r="K132" s="18">
        <f t="shared" si="82"/>
        <v>110272.44</v>
      </c>
      <c r="L132" s="18">
        <v>8616</v>
      </c>
      <c r="M132" s="18">
        <f t="shared" si="84"/>
        <v>103392</v>
      </c>
      <c r="N132" s="18">
        <f t="shared" si="85"/>
        <v>333313</v>
      </c>
      <c r="O132" s="18">
        <f t="shared" si="86"/>
        <v>166656</v>
      </c>
      <c r="P132" s="18"/>
      <c r="Q132" s="18">
        <f t="shared" si="87"/>
        <v>9922</v>
      </c>
      <c r="R132" s="18">
        <f>ROUND((E132+G132+K132+M132)*0.08,0)</f>
        <v>175841</v>
      </c>
      <c r="S132" s="18">
        <f t="shared" si="89"/>
        <v>13890</v>
      </c>
      <c r="T132" s="18">
        <f t="shared" si="90"/>
        <v>19843</v>
      </c>
      <c r="U132" s="18">
        <f t="shared" si="91"/>
        <v>238121</v>
      </c>
      <c r="V132" s="18">
        <f t="shared" si="92"/>
        <v>3000</v>
      </c>
      <c r="W132" s="30">
        <f t="shared" si="93"/>
        <v>25932</v>
      </c>
      <c r="X132" s="4">
        <f>C85+C132</f>
        <v>972</v>
      </c>
      <c r="Y132" s="4">
        <f>I85+I132</f>
        <v>229</v>
      </c>
    </row>
    <row r="133" spans="1:27" s="1" customFormat="1" ht="21" customHeight="1">
      <c r="A133" s="59" t="s">
        <v>572</v>
      </c>
      <c r="B133" s="20">
        <f t="shared" ref="B133:W133" si="95">SUM(B96:B132)</f>
        <v>218</v>
      </c>
      <c r="C133" s="20">
        <f t="shared" si="95"/>
        <v>222</v>
      </c>
      <c r="D133" s="20">
        <f t="shared" si="95"/>
        <v>669723</v>
      </c>
      <c r="E133" s="20">
        <f t="shared" si="95"/>
        <v>8036676</v>
      </c>
      <c r="F133" s="20">
        <f t="shared" si="95"/>
        <v>421800</v>
      </c>
      <c r="G133" s="20">
        <f t="shared" si="95"/>
        <v>5061600</v>
      </c>
      <c r="H133" s="20">
        <f t="shared" si="95"/>
        <v>91</v>
      </c>
      <c r="I133" s="20">
        <f t="shared" si="95"/>
        <v>69</v>
      </c>
      <c r="J133" s="20">
        <f t="shared" si="95"/>
        <v>168441.37</v>
      </c>
      <c r="K133" s="20">
        <f t="shared" si="95"/>
        <v>2021296.44</v>
      </c>
      <c r="L133" s="20">
        <f t="shared" si="95"/>
        <v>130363</v>
      </c>
      <c r="M133" s="20">
        <f t="shared" si="95"/>
        <v>1564356</v>
      </c>
      <c r="N133" s="20">
        <f t="shared" si="95"/>
        <v>2202878</v>
      </c>
      <c r="O133" s="20">
        <f t="shared" si="95"/>
        <v>1101437</v>
      </c>
      <c r="P133" s="20">
        <f t="shared" si="95"/>
        <v>0</v>
      </c>
      <c r="Q133" s="20">
        <f t="shared" si="95"/>
        <v>65493</v>
      </c>
      <c r="R133" s="20">
        <f t="shared" si="95"/>
        <v>1142771</v>
      </c>
      <c r="S133" s="20">
        <f t="shared" si="95"/>
        <v>91687</v>
      </c>
      <c r="T133" s="20">
        <f t="shared" si="95"/>
        <v>130983</v>
      </c>
      <c r="U133" s="20">
        <f t="shared" si="95"/>
        <v>1571791</v>
      </c>
      <c r="V133" s="20">
        <f t="shared" si="95"/>
        <v>21825</v>
      </c>
      <c r="W133" s="20">
        <f t="shared" si="95"/>
        <v>201158</v>
      </c>
    </row>
    <row r="134" spans="1:27" s="1" customFormat="1" ht="21" customHeight="1">
      <c r="A134" s="60" t="s">
        <v>573</v>
      </c>
      <c r="B134" s="18">
        <v>3</v>
      </c>
      <c r="C134" s="18">
        <v>3</v>
      </c>
      <c r="D134" s="18"/>
      <c r="E134" s="18">
        <f>30000*C134</f>
        <v>90000</v>
      </c>
      <c r="F134" s="18">
        <f>1900*C134*0.75</f>
        <v>4275</v>
      </c>
      <c r="G134" s="18">
        <f>F134*12</f>
        <v>51300</v>
      </c>
      <c r="H134" s="21"/>
      <c r="I134" s="21"/>
      <c r="J134" s="21"/>
      <c r="K134" s="21"/>
      <c r="L134" s="21"/>
      <c r="M134" s="21"/>
      <c r="N134" s="18">
        <f>ROUND((E134+G134)*0.16+D134*0.16,0)</f>
        <v>22608</v>
      </c>
      <c r="O134" s="18">
        <f>ROUND((E134+G134)*0.08+D134*0.08,0)</f>
        <v>11304</v>
      </c>
      <c r="P134" s="21"/>
      <c r="Q134" s="18">
        <f>ROUND((E134+G134)*0.005,0)</f>
        <v>707</v>
      </c>
      <c r="R134" s="18">
        <f>ROUND((E134+G134+K134+M134)*0.08,0)</f>
        <v>11304</v>
      </c>
      <c r="S134" s="18">
        <f>ROUND((E134+G134)*0.007,0)</f>
        <v>989</v>
      </c>
      <c r="T134" s="18">
        <f>ROUND((E134+G134)*0.01,0)</f>
        <v>1413</v>
      </c>
      <c r="U134" s="18">
        <f>ROUND((E134+G134)*0.12,0)</f>
        <v>16956</v>
      </c>
      <c r="V134" s="18">
        <f>ROUND((C134+I134)*75,0)</f>
        <v>225</v>
      </c>
      <c r="W134" s="30"/>
    </row>
    <row r="135" spans="1:27" ht="21" customHeight="1">
      <c r="A135" s="42" t="s">
        <v>574</v>
      </c>
      <c r="B135" s="18">
        <v>29</v>
      </c>
      <c r="C135" s="18">
        <v>29</v>
      </c>
      <c r="D135" s="18"/>
      <c r="E135" s="18">
        <f>30000*C135</f>
        <v>870000</v>
      </c>
      <c r="F135" s="18">
        <f>22800/12*0.4*C135</f>
        <v>22040</v>
      </c>
      <c r="G135" s="18">
        <f>F135*12</f>
        <v>264480</v>
      </c>
      <c r="H135" s="18"/>
      <c r="I135" s="18"/>
      <c r="J135" s="18"/>
      <c r="K135" s="18"/>
      <c r="L135" s="18"/>
      <c r="M135" s="18">
        <f>L135*12</f>
        <v>0</v>
      </c>
      <c r="N135" s="18">
        <f>ROUND((E135+G135)*0.16+D135*0.16,0)</f>
        <v>181517</v>
      </c>
      <c r="O135" s="18">
        <f>ROUND((E135+G135)*0.08+D135*0.08,0)</f>
        <v>90758</v>
      </c>
      <c r="P135" s="18"/>
      <c r="Q135" s="18">
        <f>ROUND((E135+G135)*0.005,0)</f>
        <v>5672</v>
      </c>
      <c r="R135" s="18">
        <f t="shared" si="94"/>
        <v>90758</v>
      </c>
      <c r="S135" s="18">
        <f>ROUND((E135+G135)*0.007,0)</f>
        <v>7941</v>
      </c>
      <c r="T135" s="18">
        <f>ROUND((E135+G135)*0.01,0)</f>
        <v>11345</v>
      </c>
      <c r="U135" s="18">
        <f>ROUND((E135+G135)*0.12,0)</f>
        <v>136138</v>
      </c>
      <c r="V135" s="18">
        <f>ROUND((C135+I135)*75,0)</f>
        <v>2175</v>
      </c>
      <c r="W135" s="30"/>
    </row>
    <row r="136" spans="1:27" ht="21" customHeight="1">
      <c r="A136" s="42" t="s">
        <v>575</v>
      </c>
      <c r="B136" s="18">
        <v>5</v>
      </c>
      <c r="C136" s="18">
        <v>5</v>
      </c>
      <c r="D136" s="18"/>
      <c r="E136" s="18">
        <f>C136*30000</f>
        <v>150000</v>
      </c>
      <c r="F136" s="18">
        <f>1900*C136*0.75</f>
        <v>7125</v>
      </c>
      <c r="G136" s="18">
        <f>F136*12</f>
        <v>85500</v>
      </c>
      <c r="H136" s="18"/>
      <c r="I136" s="18"/>
      <c r="J136" s="18"/>
      <c r="K136" s="18"/>
      <c r="L136" s="18"/>
      <c r="M136" s="18"/>
      <c r="N136" s="18">
        <f>ROUND((E136+G136)*0.16+D136*0.16,0)</f>
        <v>37680</v>
      </c>
      <c r="O136" s="18">
        <f>ROUND((E136+G136)*0.08+D136*0.08,0)</f>
        <v>18840</v>
      </c>
      <c r="P136" s="18"/>
      <c r="Q136" s="18">
        <f>ROUND((E136+G136)*0.005,0)</f>
        <v>1178</v>
      </c>
      <c r="R136" s="18">
        <f t="shared" si="94"/>
        <v>18840</v>
      </c>
      <c r="S136" s="18">
        <f>ROUND((E136+G136)*0.007,0)</f>
        <v>1649</v>
      </c>
      <c r="T136" s="18">
        <f>ROUND((E136+G136)*0.01,0)</f>
        <v>2355</v>
      </c>
      <c r="U136" s="18">
        <f>ROUND((E136+G136)*0.12,0)</f>
        <v>28260</v>
      </c>
      <c r="V136" s="18">
        <f>ROUND((C136+I136)*75,0)</f>
        <v>375</v>
      </c>
      <c r="W136" s="30"/>
    </row>
    <row r="137" spans="1:27" ht="21" customHeight="1">
      <c r="A137" s="42" t="s">
        <v>576</v>
      </c>
      <c r="B137" s="18">
        <v>11</v>
      </c>
      <c r="C137" s="18">
        <v>11</v>
      </c>
      <c r="D137" s="18"/>
      <c r="E137" s="18">
        <f>30000*C137</f>
        <v>330000</v>
      </c>
      <c r="F137" s="18">
        <f>1900*0.75*C137</f>
        <v>15675</v>
      </c>
      <c r="G137" s="18">
        <f>F137*12</f>
        <v>188100</v>
      </c>
      <c r="H137" s="18">
        <v>10</v>
      </c>
      <c r="I137" s="18">
        <v>10</v>
      </c>
      <c r="J137" s="18"/>
      <c r="K137" s="18"/>
      <c r="L137" s="18">
        <f>1900*0.75*0.75*I137</f>
        <v>10687.5</v>
      </c>
      <c r="M137" s="18">
        <f>L137*12</f>
        <v>128250</v>
      </c>
      <c r="N137" s="18">
        <f>ROUND((E137+G137)*0.16+D137*0.16,0)</f>
        <v>82896</v>
      </c>
      <c r="O137" s="18">
        <f>ROUND((E137+G137)*0.08+D137*0.08,0)</f>
        <v>41448</v>
      </c>
      <c r="P137" s="18"/>
      <c r="Q137" s="18">
        <f>ROUND((E137+G137)*0.005,0)</f>
        <v>2591</v>
      </c>
      <c r="R137" s="18">
        <f t="shared" si="94"/>
        <v>41448</v>
      </c>
      <c r="S137" s="18">
        <f>ROUND((E137+G137)*0.007,0)</f>
        <v>3627</v>
      </c>
      <c r="T137" s="18">
        <f>ROUND((E137+G137)*0.01,0)</f>
        <v>5181</v>
      </c>
      <c r="U137" s="18">
        <f>ROUND((E137+G137)*0.12,0)</f>
        <v>62172</v>
      </c>
      <c r="V137" s="18">
        <f>ROUND((C137+I137)*75,0)</f>
        <v>1575</v>
      </c>
      <c r="W137" s="30"/>
    </row>
    <row r="138" spans="1:27" ht="26.1" customHeight="1">
      <c r="A138" s="59" t="s">
        <v>577</v>
      </c>
      <c r="B138" s="20">
        <f t="shared" ref="B138:W138" si="96">SUM(B134:B137)</f>
        <v>48</v>
      </c>
      <c r="C138" s="20">
        <f t="shared" si="96"/>
        <v>48</v>
      </c>
      <c r="D138" s="20">
        <f t="shared" si="96"/>
        <v>0</v>
      </c>
      <c r="E138" s="20">
        <f t="shared" si="96"/>
        <v>1440000</v>
      </c>
      <c r="F138" s="20">
        <f t="shared" si="96"/>
        <v>49115</v>
      </c>
      <c r="G138" s="20">
        <f t="shared" si="96"/>
        <v>589380</v>
      </c>
      <c r="H138" s="20">
        <f t="shared" si="96"/>
        <v>10</v>
      </c>
      <c r="I138" s="20">
        <f t="shared" si="96"/>
        <v>10</v>
      </c>
      <c r="J138" s="20">
        <f t="shared" si="96"/>
        <v>0</v>
      </c>
      <c r="K138" s="20">
        <f t="shared" si="96"/>
        <v>0</v>
      </c>
      <c r="L138" s="20">
        <f t="shared" si="96"/>
        <v>10687.5</v>
      </c>
      <c r="M138" s="20">
        <f t="shared" si="96"/>
        <v>128250</v>
      </c>
      <c r="N138" s="20">
        <f t="shared" si="96"/>
        <v>324701</v>
      </c>
      <c r="O138" s="20">
        <f t="shared" si="96"/>
        <v>162350</v>
      </c>
      <c r="P138" s="20">
        <f t="shared" si="96"/>
        <v>0</v>
      </c>
      <c r="Q138" s="20">
        <f t="shared" si="96"/>
        <v>10148</v>
      </c>
      <c r="R138" s="20">
        <f t="shared" si="96"/>
        <v>162350</v>
      </c>
      <c r="S138" s="20">
        <f t="shared" si="96"/>
        <v>14206</v>
      </c>
      <c r="T138" s="20">
        <f t="shared" si="96"/>
        <v>20294</v>
      </c>
      <c r="U138" s="20">
        <f t="shared" si="96"/>
        <v>243526</v>
      </c>
      <c r="V138" s="20">
        <f t="shared" si="96"/>
        <v>4350</v>
      </c>
      <c r="W138" s="20">
        <f t="shared" si="96"/>
        <v>0</v>
      </c>
    </row>
    <row r="139" spans="1:27" customFormat="1" ht="18.95" customHeight="1">
      <c r="A139" s="59" t="s">
        <v>578</v>
      </c>
      <c r="B139" s="20">
        <v>57</v>
      </c>
      <c r="C139" s="20">
        <v>57</v>
      </c>
      <c r="D139" s="61">
        <v>159300</v>
      </c>
      <c r="E139" s="11">
        <f>D139*12</f>
        <v>1911600</v>
      </c>
      <c r="F139" s="20"/>
      <c r="G139" s="20"/>
      <c r="H139" s="20"/>
      <c r="I139" s="20"/>
      <c r="J139" s="20"/>
      <c r="K139" s="20"/>
      <c r="L139" s="20"/>
      <c r="M139" s="20"/>
      <c r="N139" s="63">
        <f>ROUND((E139+G139)*0.16+D139*0.16,0)</f>
        <v>331344</v>
      </c>
      <c r="O139" s="63">
        <f>ROUND((E139+G139)*0.08+D139*0.08,0)</f>
        <v>165672</v>
      </c>
      <c r="P139" s="63"/>
      <c r="Q139" s="63">
        <f>ROUND((E139+G139)*0.005,0)</f>
        <v>9558</v>
      </c>
      <c r="R139" s="63">
        <f>ROUND((E139+G139)*0.08,0)</f>
        <v>152928</v>
      </c>
      <c r="S139" s="63">
        <f>ROUND((E139+G139)*0.007,0)</f>
        <v>13381</v>
      </c>
      <c r="T139" s="63">
        <f>ROUND((E139+G139)*0.01,0)</f>
        <v>19116</v>
      </c>
      <c r="U139" s="63">
        <f>ROUND((E139+G139)*0.12,0)</f>
        <v>229392</v>
      </c>
      <c r="V139" s="63">
        <f>ROUND((C139+I139)*75,0)</f>
        <v>4275</v>
      </c>
      <c r="W139" s="64"/>
    </row>
    <row r="140" spans="1:27" s="1" customFormat="1" ht="24" customHeight="1">
      <c r="A140" s="11" t="s">
        <v>274</v>
      </c>
      <c r="B140" s="11">
        <f>B87+B89+B93+B95+B133+B138+B139</f>
        <v>3718</v>
      </c>
      <c r="C140" s="11">
        <f t="shared" ref="C140:W140" si="97">C87+C89+C93+C95+C133+C138</f>
        <v>3851</v>
      </c>
      <c r="D140" s="20">
        <f t="shared" si="97"/>
        <v>12588192</v>
      </c>
      <c r="E140" s="20">
        <f t="shared" si="97"/>
        <v>151768476</v>
      </c>
      <c r="F140" s="20">
        <f t="shared" si="97"/>
        <v>7991551</v>
      </c>
      <c r="G140" s="20">
        <f t="shared" si="97"/>
        <v>95921412</v>
      </c>
      <c r="H140" s="11">
        <f t="shared" si="97"/>
        <v>1910</v>
      </c>
      <c r="I140" s="11">
        <f t="shared" si="97"/>
        <v>1928</v>
      </c>
      <c r="J140" s="20">
        <f t="shared" si="97"/>
        <v>5013085.9800000004</v>
      </c>
      <c r="K140" s="20">
        <f t="shared" si="97"/>
        <v>60157031.759999998</v>
      </c>
      <c r="L140" s="20">
        <f t="shared" si="97"/>
        <v>3570712.5</v>
      </c>
      <c r="M140" s="20">
        <f t="shared" si="97"/>
        <v>42848550</v>
      </c>
      <c r="N140" s="20">
        <f t="shared" si="97"/>
        <v>41668223</v>
      </c>
      <c r="O140" s="20">
        <f t="shared" si="97"/>
        <v>20834106</v>
      </c>
      <c r="P140" s="20">
        <f t="shared" si="97"/>
        <v>4590545</v>
      </c>
      <c r="Q140" s="20">
        <f t="shared" si="97"/>
        <v>1239200</v>
      </c>
      <c r="R140" s="20">
        <f t="shared" si="97"/>
        <v>20808192</v>
      </c>
      <c r="S140" s="20">
        <f t="shared" si="97"/>
        <v>969029</v>
      </c>
      <c r="T140" s="20">
        <f t="shared" si="97"/>
        <v>2971608</v>
      </c>
      <c r="U140" s="20">
        <f t="shared" si="97"/>
        <v>29740580</v>
      </c>
      <c r="V140" s="20">
        <f t="shared" si="97"/>
        <v>433050</v>
      </c>
      <c r="W140" s="20">
        <f t="shared" si="97"/>
        <v>4211737</v>
      </c>
    </row>
    <row r="141" spans="1:27">
      <c r="L141" s="6">
        <f>L140-L138-L86-L45</f>
        <v>3512805</v>
      </c>
      <c r="M141" s="6">
        <f>M140-M86-M138</f>
        <v>42644028</v>
      </c>
    </row>
    <row r="142" spans="1:27">
      <c r="C142" s="62"/>
      <c r="E142" s="5">
        <f>E70+E89+E93+E133+E95</f>
        <v>120449532</v>
      </c>
      <c r="J142" s="6">
        <f>J140-J86-J45</f>
        <v>4943491.9800000004</v>
      </c>
    </row>
    <row r="143" spans="1:27">
      <c r="E143" s="5">
        <f>D87+D133</f>
        <v>6224103</v>
      </c>
    </row>
  </sheetData>
  <mergeCells count="18">
    <mergeCell ref="C5:G5"/>
    <mergeCell ref="I5:M5"/>
    <mergeCell ref="X94:Z94"/>
    <mergeCell ref="N3:N6"/>
    <mergeCell ref="O3:O6"/>
    <mergeCell ref="P3:P6"/>
    <mergeCell ref="Q3:Q6"/>
    <mergeCell ref="R3:R6"/>
    <mergeCell ref="S3:S6"/>
    <mergeCell ref="T3:T6"/>
    <mergeCell ref="U3:U6"/>
    <mergeCell ref="V3:V6"/>
    <mergeCell ref="W3:W6"/>
    <mergeCell ref="A1:V1"/>
    <mergeCell ref="F2:O2"/>
    <mergeCell ref="B3:M3"/>
    <mergeCell ref="B4:G4"/>
    <mergeCell ref="H4:M4"/>
  </mergeCells>
  <phoneticPr fontId="59" type="noConversion"/>
  <printOptions horizontalCentered="1"/>
  <pageMargins left="0.196527777777778" right="0" top="0" bottom="0" header="0.31458333333333299" footer="0.35416666666666702"/>
  <pageSetup paperSize="8" scale="74" orientation="landscape" horizontalDpi="1200" verticalDpi="1200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141"/>
  <sheetViews>
    <sheetView view="pageBreakPreview" zoomScaleNormal="100" workbookViewId="0">
      <pane xSplit="1" ySplit="6" topLeftCell="F131" activePane="bottomRight" state="frozen"/>
      <selection pane="topRight"/>
      <selection pane="bottomLeft"/>
      <selection pane="bottomRight" activeCell="L135" sqref="L135"/>
    </sheetView>
  </sheetViews>
  <sheetFormatPr defaultColWidth="9" defaultRowHeight="14.25"/>
  <cols>
    <col min="1" max="1" width="18.625" style="5" customWidth="1"/>
    <col min="2" max="2" width="8.875" style="5" customWidth="1"/>
    <col min="3" max="3" width="8.125" style="5" customWidth="1"/>
    <col min="4" max="4" width="11.625" style="5" customWidth="1"/>
    <col min="5" max="5" width="12.75" style="5" customWidth="1"/>
    <col min="6" max="6" width="12.125" style="5" customWidth="1"/>
    <col min="7" max="7" width="11.5" style="5" customWidth="1"/>
    <col min="8" max="8" width="8.5" style="5" customWidth="1"/>
    <col min="9" max="9" width="8.875" style="6" customWidth="1"/>
    <col min="10" max="10" width="11.375" style="6" customWidth="1"/>
    <col min="11" max="11" width="13.125" style="6" customWidth="1"/>
    <col min="12" max="12" width="10.875" style="6" customWidth="1"/>
    <col min="13" max="13" width="12.625" style="6" customWidth="1"/>
    <col min="14" max="15" width="11.625" style="6" customWidth="1"/>
    <col min="16" max="16" width="10.5" style="6" customWidth="1"/>
    <col min="17" max="17" width="11" style="6" customWidth="1"/>
    <col min="18" max="18" width="12.125" style="6" customWidth="1"/>
    <col min="19" max="19" width="10.25" style="6" customWidth="1"/>
    <col min="20" max="20" width="11.5" style="6" customWidth="1"/>
    <col min="21" max="21" width="11.375" style="6" customWidth="1"/>
    <col min="22" max="22" width="9.875" style="6" customWidth="1"/>
    <col min="23" max="23" width="11.125" style="6" customWidth="1"/>
    <col min="24" max="16384" width="9" style="5"/>
  </cols>
  <sheetData>
    <row r="1" spans="1:24" ht="22.5" customHeight="1">
      <c r="A1" s="477" t="s">
        <v>434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7"/>
      <c r="X1" s="31"/>
    </row>
    <row r="2" spans="1:24" ht="16.5" customHeight="1">
      <c r="A2" s="7"/>
      <c r="B2" s="7"/>
      <c r="C2" s="7"/>
      <c r="D2" s="7"/>
      <c r="E2" s="7"/>
      <c r="F2" s="478">
        <v>44141</v>
      </c>
      <c r="G2" s="478"/>
      <c r="H2" s="478"/>
      <c r="I2" s="478"/>
      <c r="J2" s="478"/>
      <c r="K2" s="478"/>
      <c r="L2" s="478"/>
      <c r="M2" s="478"/>
      <c r="N2" s="478"/>
      <c r="O2" s="478"/>
      <c r="P2" s="7"/>
      <c r="Q2" s="7"/>
      <c r="R2" s="7"/>
      <c r="S2" s="7"/>
      <c r="T2" s="7"/>
      <c r="U2" s="7"/>
      <c r="V2" s="7"/>
      <c r="W2" s="7"/>
      <c r="X2" s="31"/>
    </row>
    <row r="3" spans="1:24" ht="21" customHeight="1">
      <c r="A3" s="8" t="s">
        <v>392</v>
      </c>
      <c r="B3" s="479" t="s">
        <v>435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80" t="s">
        <v>436</v>
      </c>
      <c r="O3" s="483" t="s">
        <v>437</v>
      </c>
      <c r="P3" s="484" t="s">
        <v>438</v>
      </c>
      <c r="Q3" s="484" t="s">
        <v>439</v>
      </c>
      <c r="R3" s="487" t="s">
        <v>440</v>
      </c>
      <c r="S3" s="487" t="s">
        <v>441</v>
      </c>
      <c r="T3" s="487" t="s">
        <v>442</v>
      </c>
      <c r="U3" s="487" t="s">
        <v>443</v>
      </c>
      <c r="V3" s="484" t="s">
        <v>444</v>
      </c>
      <c r="W3" s="484" t="s">
        <v>445</v>
      </c>
    </row>
    <row r="4" spans="1:24" ht="18.75" customHeight="1">
      <c r="A4" s="9" t="s">
        <v>446</v>
      </c>
      <c r="B4" s="480" t="s">
        <v>285</v>
      </c>
      <c r="C4" s="480"/>
      <c r="D4" s="480"/>
      <c r="E4" s="480"/>
      <c r="F4" s="480"/>
      <c r="G4" s="480"/>
      <c r="H4" s="480" t="s">
        <v>286</v>
      </c>
      <c r="I4" s="480"/>
      <c r="J4" s="480"/>
      <c r="K4" s="480"/>
      <c r="L4" s="480"/>
      <c r="M4" s="480"/>
      <c r="N4" s="480"/>
      <c r="O4" s="483"/>
      <c r="P4" s="485"/>
      <c r="Q4" s="485"/>
      <c r="R4" s="488"/>
      <c r="S4" s="488"/>
      <c r="T4" s="488"/>
      <c r="U4" s="488"/>
      <c r="V4" s="485"/>
      <c r="W4" s="485"/>
    </row>
    <row r="5" spans="1:24" ht="20.25" customHeight="1">
      <c r="A5" s="9"/>
      <c r="B5" s="11">
        <v>2020</v>
      </c>
      <c r="C5" s="481">
        <v>2021</v>
      </c>
      <c r="D5" s="481"/>
      <c r="E5" s="481"/>
      <c r="F5" s="481"/>
      <c r="G5" s="481"/>
      <c r="H5" s="11">
        <v>2020</v>
      </c>
      <c r="I5" s="481">
        <v>2021</v>
      </c>
      <c r="J5" s="481"/>
      <c r="K5" s="481"/>
      <c r="L5" s="481"/>
      <c r="M5" s="481"/>
      <c r="N5" s="480"/>
      <c r="O5" s="483"/>
      <c r="P5" s="485"/>
      <c r="Q5" s="485"/>
      <c r="R5" s="488"/>
      <c r="S5" s="488"/>
      <c r="T5" s="488"/>
      <c r="U5" s="488"/>
      <c r="V5" s="485"/>
      <c r="W5" s="485"/>
    </row>
    <row r="6" spans="1:24" ht="16.5" customHeight="1">
      <c r="A6" s="13" t="s">
        <v>447</v>
      </c>
      <c r="B6" s="14" t="s">
        <v>282</v>
      </c>
      <c r="C6" s="14" t="s">
        <v>282</v>
      </c>
      <c r="D6" s="14" t="s">
        <v>448</v>
      </c>
      <c r="E6" s="14" t="s">
        <v>449</v>
      </c>
      <c r="F6" s="14" t="s">
        <v>450</v>
      </c>
      <c r="G6" s="14" t="s">
        <v>451</v>
      </c>
      <c r="H6" s="14" t="s">
        <v>282</v>
      </c>
      <c r="I6" s="14" t="s">
        <v>282</v>
      </c>
      <c r="J6" s="14" t="s">
        <v>448</v>
      </c>
      <c r="K6" s="14" t="s">
        <v>449</v>
      </c>
      <c r="L6" s="14" t="s">
        <v>450</v>
      </c>
      <c r="M6" s="14" t="s">
        <v>451</v>
      </c>
      <c r="N6" s="480"/>
      <c r="O6" s="483"/>
      <c r="P6" s="486"/>
      <c r="Q6" s="486"/>
      <c r="R6" s="489"/>
      <c r="S6" s="489"/>
      <c r="T6" s="489"/>
      <c r="U6" s="489"/>
      <c r="V6" s="486"/>
      <c r="W6" s="486"/>
    </row>
    <row r="7" spans="1:24" s="1" customFormat="1" ht="21" customHeight="1">
      <c r="A7" s="15" t="s">
        <v>452</v>
      </c>
      <c r="B7" s="16">
        <v>29</v>
      </c>
      <c r="C7" s="16">
        <v>30</v>
      </c>
      <c r="D7" s="17">
        <v>109478</v>
      </c>
      <c r="E7" s="18">
        <f t="shared" ref="E7:E33" si="0">D7*12</f>
        <v>1313736</v>
      </c>
      <c r="F7" s="18">
        <v>65005</v>
      </c>
      <c r="G7" s="18">
        <f t="shared" ref="G7:G33" si="1">F7*12</f>
        <v>780060</v>
      </c>
      <c r="H7" s="19">
        <v>7</v>
      </c>
      <c r="I7" s="18">
        <v>9</v>
      </c>
      <c r="J7" s="29">
        <v>26721.200000000001</v>
      </c>
      <c r="K7" s="30">
        <f t="shared" ref="K7:K33" si="2">J7*12</f>
        <v>320654.40000000002</v>
      </c>
      <c r="L7" s="29">
        <v>18033</v>
      </c>
      <c r="M7" s="18">
        <f t="shared" ref="M7:M33" si="3">L7*12</f>
        <v>216396</v>
      </c>
      <c r="N7" s="18">
        <f t="shared" ref="N7:N33" si="4">ROUND((E7+G7)*0.16+D7*0.16,0)</f>
        <v>352524</v>
      </c>
      <c r="O7" s="18">
        <f t="shared" ref="O7:O33" si="5">ROUND((E7+G7)*0.08+D7*0.08,0)</f>
        <v>176262</v>
      </c>
      <c r="P7" s="18">
        <f t="shared" ref="P7:P33" si="6">ROUND((E7+K7)*0.05,0)</f>
        <v>81720</v>
      </c>
      <c r="Q7" s="18">
        <f t="shared" ref="Q7:Q33" si="7">ROUND((E7+G7)*0.005,0)</f>
        <v>10469</v>
      </c>
      <c r="R7" s="18">
        <f t="shared" ref="R7:R33" si="8">ROUND((E7+G7)*0.08,0)</f>
        <v>167504</v>
      </c>
      <c r="S7" s="18"/>
      <c r="T7" s="18">
        <f t="shared" ref="T7:T33" si="9">ROUND((E7+G7)*0.01,0)</f>
        <v>20938</v>
      </c>
      <c r="U7" s="18">
        <f t="shared" ref="U7:U33" si="10">ROUND((E7+G7)*0.12,0)</f>
        <v>251256</v>
      </c>
      <c r="V7" s="18">
        <f t="shared" ref="V7:V33" si="11">ROUND((C7+I7)*75,0)</f>
        <v>2925</v>
      </c>
      <c r="W7" s="30">
        <f t="shared" ref="W7:W33" si="12">ROUND((E7+K7)*0.02,0)</f>
        <v>32688</v>
      </c>
      <c r="X7" s="32"/>
    </row>
    <row r="8" spans="1:24" s="1" customFormat="1" ht="21" customHeight="1">
      <c r="A8" s="15" t="s">
        <v>453</v>
      </c>
      <c r="B8" s="16">
        <v>19</v>
      </c>
      <c r="C8" s="16">
        <v>24</v>
      </c>
      <c r="D8" s="17">
        <v>98886</v>
      </c>
      <c r="E8" s="18">
        <f t="shared" si="0"/>
        <v>1186632</v>
      </c>
      <c r="F8" s="18">
        <v>53290</v>
      </c>
      <c r="G8" s="18">
        <f t="shared" si="1"/>
        <v>639480</v>
      </c>
      <c r="H8" s="19">
        <v>11</v>
      </c>
      <c r="I8" s="18">
        <v>11</v>
      </c>
      <c r="J8" s="29">
        <v>31832.48</v>
      </c>
      <c r="K8" s="30">
        <f t="shared" si="2"/>
        <v>381989.76</v>
      </c>
      <c r="L8" s="29">
        <v>21461</v>
      </c>
      <c r="M8" s="18">
        <f t="shared" si="3"/>
        <v>257532</v>
      </c>
      <c r="N8" s="18">
        <f t="shared" si="4"/>
        <v>308000</v>
      </c>
      <c r="O8" s="18">
        <f t="shared" si="5"/>
        <v>154000</v>
      </c>
      <c r="P8" s="18">
        <f t="shared" si="6"/>
        <v>78431</v>
      </c>
      <c r="Q8" s="18">
        <f t="shared" si="7"/>
        <v>9131</v>
      </c>
      <c r="R8" s="18">
        <f t="shared" si="8"/>
        <v>146089</v>
      </c>
      <c r="S8" s="18"/>
      <c r="T8" s="18">
        <f t="shared" si="9"/>
        <v>18261</v>
      </c>
      <c r="U8" s="18">
        <f t="shared" si="10"/>
        <v>219133</v>
      </c>
      <c r="V8" s="18">
        <f t="shared" si="11"/>
        <v>2625</v>
      </c>
      <c r="W8" s="30">
        <f t="shared" si="12"/>
        <v>31372</v>
      </c>
    </row>
    <row r="9" spans="1:24" s="1" customFormat="1" ht="21" customHeight="1">
      <c r="A9" s="15" t="s">
        <v>454</v>
      </c>
      <c r="B9" s="16">
        <v>35</v>
      </c>
      <c r="C9" s="16">
        <v>35</v>
      </c>
      <c r="D9" s="17">
        <v>129146</v>
      </c>
      <c r="E9" s="18">
        <f t="shared" si="0"/>
        <v>1549752</v>
      </c>
      <c r="F9" s="18">
        <v>75400</v>
      </c>
      <c r="G9" s="18">
        <f t="shared" si="1"/>
        <v>904800</v>
      </c>
      <c r="H9" s="19">
        <v>17</v>
      </c>
      <c r="I9" s="18">
        <v>18</v>
      </c>
      <c r="J9" s="29">
        <v>42195.519999999997</v>
      </c>
      <c r="K9" s="30">
        <f t="shared" si="2"/>
        <v>506346.23999999999</v>
      </c>
      <c r="L9" s="29">
        <v>32254</v>
      </c>
      <c r="M9" s="18">
        <f t="shared" si="3"/>
        <v>387048</v>
      </c>
      <c r="N9" s="18">
        <f t="shared" si="4"/>
        <v>413392</v>
      </c>
      <c r="O9" s="18">
        <f t="shared" si="5"/>
        <v>206696</v>
      </c>
      <c r="P9" s="18">
        <f t="shared" si="6"/>
        <v>102805</v>
      </c>
      <c r="Q9" s="18">
        <f t="shared" si="7"/>
        <v>12273</v>
      </c>
      <c r="R9" s="18">
        <f t="shared" si="8"/>
        <v>196364</v>
      </c>
      <c r="S9" s="18"/>
      <c r="T9" s="18">
        <f t="shared" si="9"/>
        <v>24546</v>
      </c>
      <c r="U9" s="18">
        <f t="shared" si="10"/>
        <v>294546</v>
      </c>
      <c r="V9" s="18">
        <f t="shared" si="11"/>
        <v>3975</v>
      </c>
      <c r="W9" s="30">
        <f t="shared" si="12"/>
        <v>41122</v>
      </c>
    </row>
    <row r="10" spans="1:24" s="1" customFormat="1" ht="21" customHeight="1">
      <c r="A10" s="15" t="s">
        <v>455</v>
      </c>
      <c r="B10" s="16">
        <v>19</v>
      </c>
      <c r="C10" s="16">
        <v>20</v>
      </c>
      <c r="D10" s="17">
        <v>82005</v>
      </c>
      <c r="E10" s="18">
        <f t="shared" si="0"/>
        <v>984060</v>
      </c>
      <c r="F10" s="18">
        <v>44145</v>
      </c>
      <c r="G10" s="18">
        <f t="shared" si="1"/>
        <v>529740</v>
      </c>
      <c r="H10" s="19">
        <v>11</v>
      </c>
      <c r="I10" s="18">
        <v>11</v>
      </c>
      <c r="J10" s="29">
        <v>30299.72</v>
      </c>
      <c r="K10" s="30">
        <f t="shared" si="2"/>
        <v>363596.64</v>
      </c>
      <c r="L10" s="29">
        <v>21670</v>
      </c>
      <c r="M10" s="18">
        <f t="shared" si="3"/>
        <v>260040</v>
      </c>
      <c r="N10" s="18">
        <f t="shared" si="4"/>
        <v>255329</v>
      </c>
      <c r="O10" s="18">
        <f t="shared" si="5"/>
        <v>127664</v>
      </c>
      <c r="P10" s="18">
        <f t="shared" si="6"/>
        <v>67383</v>
      </c>
      <c r="Q10" s="18">
        <f t="shared" si="7"/>
        <v>7569</v>
      </c>
      <c r="R10" s="18">
        <f t="shared" si="8"/>
        <v>121104</v>
      </c>
      <c r="S10" s="18"/>
      <c r="T10" s="18">
        <f t="shared" si="9"/>
        <v>15138</v>
      </c>
      <c r="U10" s="18">
        <f t="shared" si="10"/>
        <v>181656</v>
      </c>
      <c r="V10" s="18">
        <f t="shared" si="11"/>
        <v>2325</v>
      </c>
      <c r="W10" s="30">
        <f t="shared" si="12"/>
        <v>26953</v>
      </c>
    </row>
    <row r="11" spans="1:24" s="1" customFormat="1" ht="21" customHeight="1">
      <c r="A11" s="15" t="s">
        <v>456</v>
      </c>
      <c r="B11" s="16">
        <v>54</v>
      </c>
      <c r="C11" s="16">
        <v>48</v>
      </c>
      <c r="D11" s="17">
        <v>167438</v>
      </c>
      <c r="E11" s="18">
        <f t="shared" si="0"/>
        <v>2009256</v>
      </c>
      <c r="F11" s="18">
        <v>96350</v>
      </c>
      <c r="G11" s="18">
        <f t="shared" si="1"/>
        <v>1156200</v>
      </c>
      <c r="H11" s="19">
        <v>4</v>
      </c>
      <c r="I11" s="18">
        <v>4</v>
      </c>
      <c r="J11" s="29">
        <v>10642.63</v>
      </c>
      <c r="K11" s="30">
        <f t="shared" si="2"/>
        <v>127711.56</v>
      </c>
      <c r="L11" s="29">
        <v>7804</v>
      </c>
      <c r="M11" s="18">
        <f t="shared" si="3"/>
        <v>93648</v>
      </c>
      <c r="N11" s="18">
        <f t="shared" si="4"/>
        <v>533263</v>
      </c>
      <c r="O11" s="18">
        <f t="shared" si="5"/>
        <v>266632</v>
      </c>
      <c r="P11" s="18">
        <f t="shared" si="6"/>
        <v>106848</v>
      </c>
      <c r="Q11" s="18">
        <f t="shared" si="7"/>
        <v>15827</v>
      </c>
      <c r="R11" s="18">
        <f t="shared" si="8"/>
        <v>253236</v>
      </c>
      <c r="S11" s="18"/>
      <c r="T11" s="18">
        <f t="shared" si="9"/>
        <v>31655</v>
      </c>
      <c r="U11" s="18">
        <f t="shared" si="10"/>
        <v>379855</v>
      </c>
      <c r="V11" s="18">
        <f t="shared" si="11"/>
        <v>3900</v>
      </c>
      <c r="W11" s="30">
        <f t="shared" si="12"/>
        <v>42739</v>
      </c>
    </row>
    <row r="12" spans="1:24" s="1" customFormat="1" ht="21" customHeight="1">
      <c r="A12" s="15" t="s">
        <v>457</v>
      </c>
      <c r="B12" s="16">
        <v>16</v>
      </c>
      <c r="C12" s="16">
        <v>15</v>
      </c>
      <c r="D12" s="17">
        <v>48901</v>
      </c>
      <c r="E12" s="18">
        <f t="shared" si="0"/>
        <v>586812</v>
      </c>
      <c r="F12" s="18">
        <v>30795</v>
      </c>
      <c r="G12" s="18">
        <f t="shared" si="1"/>
        <v>369540</v>
      </c>
      <c r="H12" s="19">
        <v>62</v>
      </c>
      <c r="I12" s="18">
        <v>60</v>
      </c>
      <c r="J12" s="29">
        <v>197428.05</v>
      </c>
      <c r="K12" s="30">
        <f t="shared" si="2"/>
        <v>2369136.6</v>
      </c>
      <c r="L12" s="29">
        <v>132766</v>
      </c>
      <c r="M12" s="18">
        <f t="shared" si="3"/>
        <v>1593192</v>
      </c>
      <c r="N12" s="18">
        <f t="shared" si="4"/>
        <v>160840</v>
      </c>
      <c r="O12" s="18">
        <f t="shared" si="5"/>
        <v>80420</v>
      </c>
      <c r="P12" s="18">
        <f t="shared" si="6"/>
        <v>147797</v>
      </c>
      <c r="Q12" s="18">
        <f t="shared" si="7"/>
        <v>4782</v>
      </c>
      <c r="R12" s="18">
        <f t="shared" si="8"/>
        <v>76508</v>
      </c>
      <c r="S12" s="18"/>
      <c r="T12" s="18">
        <f t="shared" si="9"/>
        <v>9564</v>
      </c>
      <c r="U12" s="18">
        <f t="shared" si="10"/>
        <v>114762</v>
      </c>
      <c r="V12" s="18">
        <f t="shared" si="11"/>
        <v>5625</v>
      </c>
      <c r="W12" s="30">
        <f t="shared" si="12"/>
        <v>59119</v>
      </c>
    </row>
    <row r="13" spans="1:24" s="1" customFormat="1" ht="21" customHeight="1">
      <c r="A13" s="15" t="s">
        <v>458</v>
      </c>
      <c r="B13" s="16">
        <v>11</v>
      </c>
      <c r="C13" s="16">
        <v>12</v>
      </c>
      <c r="D13" s="17">
        <v>42019</v>
      </c>
      <c r="E13" s="18">
        <f t="shared" si="0"/>
        <v>504228</v>
      </c>
      <c r="F13" s="18">
        <v>25240</v>
      </c>
      <c r="G13" s="18">
        <f t="shared" si="1"/>
        <v>302880</v>
      </c>
      <c r="H13" s="19">
        <v>2</v>
      </c>
      <c r="I13" s="18">
        <v>2</v>
      </c>
      <c r="J13" s="29">
        <v>5360.51</v>
      </c>
      <c r="K13" s="30">
        <f t="shared" si="2"/>
        <v>64326.12</v>
      </c>
      <c r="L13" s="29">
        <v>3654</v>
      </c>
      <c r="M13" s="18">
        <f t="shared" si="3"/>
        <v>43848</v>
      </c>
      <c r="N13" s="18">
        <f t="shared" si="4"/>
        <v>135860</v>
      </c>
      <c r="O13" s="18">
        <f t="shared" si="5"/>
        <v>67930</v>
      </c>
      <c r="P13" s="18">
        <f t="shared" si="6"/>
        <v>28428</v>
      </c>
      <c r="Q13" s="18">
        <f t="shared" si="7"/>
        <v>4036</v>
      </c>
      <c r="R13" s="18">
        <f t="shared" si="8"/>
        <v>64569</v>
      </c>
      <c r="S13" s="18"/>
      <c r="T13" s="18">
        <f t="shared" si="9"/>
        <v>8071</v>
      </c>
      <c r="U13" s="18">
        <f t="shared" si="10"/>
        <v>96853</v>
      </c>
      <c r="V13" s="18">
        <f t="shared" si="11"/>
        <v>1050</v>
      </c>
      <c r="W13" s="30">
        <f t="shared" si="12"/>
        <v>11371</v>
      </c>
    </row>
    <row r="14" spans="1:24" s="1" customFormat="1" ht="21" customHeight="1">
      <c r="A14" s="15" t="s">
        <v>459</v>
      </c>
      <c r="B14" s="16">
        <v>7</v>
      </c>
      <c r="C14" s="16">
        <v>7</v>
      </c>
      <c r="D14" s="17">
        <v>28433</v>
      </c>
      <c r="E14" s="18">
        <f t="shared" si="0"/>
        <v>341196</v>
      </c>
      <c r="F14" s="18">
        <v>15555</v>
      </c>
      <c r="G14" s="18">
        <f t="shared" si="1"/>
        <v>186660</v>
      </c>
      <c r="H14" s="19">
        <v>3</v>
      </c>
      <c r="I14" s="18">
        <v>3</v>
      </c>
      <c r="J14" s="29">
        <v>8090.63</v>
      </c>
      <c r="K14" s="30">
        <f t="shared" si="2"/>
        <v>97087.56</v>
      </c>
      <c r="L14" s="29">
        <v>6062</v>
      </c>
      <c r="M14" s="18">
        <f t="shared" si="3"/>
        <v>72744</v>
      </c>
      <c r="N14" s="18">
        <f t="shared" si="4"/>
        <v>89006</v>
      </c>
      <c r="O14" s="18">
        <f t="shared" si="5"/>
        <v>44503</v>
      </c>
      <c r="P14" s="18">
        <f t="shared" si="6"/>
        <v>21914</v>
      </c>
      <c r="Q14" s="18">
        <f t="shared" si="7"/>
        <v>2639</v>
      </c>
      <c r="R14" s="18">
        <f t="shared" si="8"/>
        <v>42228</v>
      </c>
      <c r="S14" s="18"/>
      <c r="T14" s="18">
        <f t="shared" si="9"/>
        <v>5279</v>
      </c>
      <c r="U14" s="18">
        <f t="shared" si="10"/>
        <v>63343</v>
      </c>
      <c r="V14" s="18">
        <f t="shared" si="11"/>
        <v>750</v>
      </c>
      <c r="W14" s="30">
        <f t="shared" si="12"/>
        <v>8766</v>
      </c>
    </row>
    <row r="15" spans="1:24" s="1" customFormat="1" ht="21" customHeight="1">
      <c r="A15" s="15" t="s">
        <v>460</v>
      </c>
      <c r="B15" s="16">
        <v>13</v>
      </c>
      <c r="C15" s="16">
        <v>13</v>
      </c>
      <c r="D15" s="17">
        <v>48041</v>
      </c>
      <c r="E15" s="18">
        <f t="shared" si="0"/>
        <v>576492</v>
      </c>
      <c r="F15" s="18">
        <v>27880</v>
      </c>
      <c r="G15" s="18">
        <f t="shared" si="1"/>
        <v>334560</v>
      </c>
      <c r="H15" s="19">
        <v>5</v>
      </c>
      <c r="I15" s="18">
        <v>5</v>
      </c>
      <c r="J15" s="29">
        <v>13964.13</v>
      </c>
      <c r="K15" s="30">
        <f t="shared" si="2"/>
        <v>167569.56</v>
      </c>
      <c r="L15" s="29">
        <v>9755</v>
      </c>
      <c r="M15" s="18">
        <f t="shared" si="3"/>
        <v>117060</v>
      </c>
      <c r="N15" s="18">
        <f t="shared" si="4"/>
        <v>153455</v>
      </c>
      <c r="O15" s="18">
        <f t="shared" si="5"/>
        <v>76727</v>
      </c>
      <c r="P15" s="18">
        <f t="shared" si="6"/>
        <v>37203</v>
      </c>
      <c r="Q15" s="18">
        <f t="shared" si="7"/>
        <v>4555</v>
      </c>
      <c r="R15" s="18">
        <f t="shared" si="8"/>
        <v>72884</v>
      </c>
      <c r="S15" s="18"/>
      <c r="T15" s="18">
        <f t="shared" si="9"/>
        <v>9111</v>
      </c>
      <c r="U15" s="18">
        <f t="shared" si="10"/>
        <v>109326</v>
      </c>
      <c r="V15" s="18">
        <f t="shared" si="11"/>
        <v>1350</v>
      </c>
      <c r="W15" s="30">
        <f t="shared" si="12"/>
        <v>14881</v>
      </c>
    </row>
    <row r="16" spans="1:24" s="1" customFormat="1" ht="21" customHeight="1">
      <c r="A16" s="15" t="s">
        <v>461</v>
      </c>
      <c r="B16" s="16">
        <v>8</v>
      </c>
      <c r="C16" s="16">
        <v>8</v>
      </c>
      <c r="D16" s="17">
        <v>28098</v>
      </c>
      <c r="E16" s="18">
        <f t="shared" si="0"/>
        <v>337176</v>
      </c>
      <c r="F16" s="18">
        <v>15970</v>
      </c>
      <c r="G16" s="18">
        <f t="shared" si="1"/>
        <v>191640</v>
      </c>
      <c r="H16" s="19">
        <v>1</v>
      </c>
      <c r="I16" s="18">
        <v>1</v>
      </c>
      <c r="J16" s="29">
        <v>1574.07</v>
      </c>
      <c r="K16" s="30">
        <f t="shared" si="2"/>
        <v>18888.84</v>
      </c>
      <c r="L16" s="29">
        <v>1636</v>
      </c>
      <c r="M16" s="18">
        <f t="shared" si="3"/>
        <v>19632</v>
      </c>
      <c r="N16" s="18">
        <f t="shared" si="4"/>
        <v>89106</v>
      </c>
      <c r="O16" s="18">
        <f t="shared" si="5"/>
        <v>44553</v>
      </c>
      <c r="P16" s="18">
        <f t="shared" si="6"/>
        <v>17803</v>
      </c>
      <c r="Q16" s="18">
        <f t="shared" si="7"/>
        <v>2644</v>
      </c>
      <c r="R16" s="18">
        <f t="shared" si="8"/>
        <v>42305</v>
      </c>
      <c r="S16" s="18"/>
      <c r="T16" s="18">
        <f t="shared" si="9"/>
        <v>5288</v>
      </c>
      <c r="U16" s="18">
        <f t="shared" si="10"/>
        <v>63458</v>
      </c>
      <c r="V16" s="18">
        <f t="shared" si="11"/>
        <v>675</v>
      </c>
      <c r="W16" s="30">
        <f t="shared" si="12"/>
        <v>7121</v>
      </c>
    </row>
    <row r="17" spans="1:23" s="1" customFormat="1" ht="21" customHeight="1">
      <c r="A17" s="15" t="s">
        <v>462</v>
      </c>
      <c r="B17" s="16">
        <v>19</v>
      </c>
      <c r="C17" s="16">
        <v>16</v>
      </c>
      <c r="D17" s="17">
        <v>55933</v>
      </c>
      <c r="E17" s="18">
        <f t="shared" si="0"/>
        <v>671196</v>
      </c>
      <c r="F17" s="18">
        <v>33180</v>
      </c>
      <c r="G17" s="18">
        <f t="shared" si="1"/>
        <v>398160</v>
      </c>
      <c r="H17" s="19">
        <v>41</v>
      </c>
      <c r="I17" s="29">
        <v>43</v>
      </c>
      <c r="J17" s="29">
        <v>113613.02</v>
      </c>
      <c r="K17" s="30">
        <f t="shared" si="2"/>
        <v>1363356.24</v>
      </c>
      <c r="L17" s="29">
        <v>78049</v>
      </c>
      <c r="M17" s="18">
        <f t="shared" si="3"/>
        <v>936588</v>
      </c>
      <c r="N17" s="18">
        <f t="shared" si="4"/>
        <v>180046</v>
      </c>
      <c r="O17" s="18">
        <f t="shared" si="5"/>
        <v>90023</v>
      </c>
      <c r="P17" s="18">
        <f t="shared" si="6"/>
        <v>101728</v>
      </c>
      <c r="Q17" s="18">
        <f t="shared" si="7"/>
        <v>5347</v>
      </c>
      <c r="R17" s="18">
        <f t="shared" si="8"/>
        <v>85548</v>
      </c>
      <c r="S17" s="18"/>
      <c r="T17" s="18">
        <f t="shared" si="9"/>
        <v>10694</v>
      </c>
      <c r="U17" s="18">
        <f t="shared" si="10"/>
        <v>128323</v>
      </c>
      <c r="V17" s="18">
        <f t="shared" si="11"/>
        <v>4425</v>
      </c>
      <c r="W17" s="30">
        <f t="shared" si="12"/>
        <v>40691</v>
      </c>
    </row>
    <row r="18" spans="1:23" s="1" customFormat="1" ht="21" customHeight="1">
      <c r="A18" s="15" t="s">
        <v>463</v>
      </c>
      <c r="B18" s="16">
        <v>26</v>
      </c>
      <c r="C18" s="16">
        <v>25</v>
      </c>
      <c r="D18" s="17">
        <v>86569</v>
      </c>
      <c r="E18" s="18">
        <f t="shared" si="0"/>
        <v>1038828</v>
      </c>
      <c r="F18" s="18">
        <v>50845</v>
      </c>
      <c r="G18" s="18">
        <f t="shared" si="1"/>
        <v>610140</v>
      </c>
      <c r="H18" s="19">
        <v>12</v>
      </c>
      <c r="I18" s="29">
        <v>13</v>
      </c>
      <c r="J18" s="29">
        <v>34280.26</v>
      </c>
      <c r="K18" s="30">
        <f t="shared" si="2"/>
        <v>411363.12</v>
      </c>
      <c r="L18" s="29">
        <v>24425</v>
      </c>
      <c r="M18" s="18">
        <f t="shared" si="3"/>
        <v>293100</v>
      </c>
      <c r="N18" s="18">
        <f t="shared" si="4"/>
        <v>277686</v>
      </c>
      <c r="O18" s="18">
        <f t="shared" si="5"/>
        <v>138843</v>
      </c>
      <c r="P18" s="18">
        <f t="shared" si="6"/>
        <v>72510</v>
      </c>
      <c r="Q18" s="18">
        <f t="shared" si="7"/>
        <v>8245</v>
      </c>
      <c r="R18" s="18">
        <f t="shared" si="8"/>
        <v>131917</v>
      </c>
      <c r="S18" s="18"/>
      <c r="T18" s="18">
        <f t="shared" si="9"/>
        <v>16490</v>
      </c>
      <c r="U18" s="18">
        <f t="shared" si="10"/>
        <v>197876</v>
      </c>
      <c r="V18" s="18">
        <f t="shared" si="11"/>
        <v>2850</v>
      </c>
      <c r="W18" s="30">
        <f t="shared" si="12"/>
        <v>29004</v>
      </c>
    </row>
    <row r="19" spans="1:23" ht="21" customHeight="1">
      <c r="A19" s="15" t="s">
        <v>464</v>
      </c>
      <c r="B19" s="16">
        <v>11</v>
      </c>
      <c r="C19" s="16">
        <v>9</v>
      </c>
      <c r="D19" s="17">
        <v>31205</v>
      </c>
      <c r="E19" s="18">
        <f t="shared" si="0"/>
        <v>374460</v>
      </c>
      <c r="F19" s="18">
        <v>18675</v>
      </c>
      <c r="G19" s="18">
        <f t="shared" si="1"/>
        <v>224100</v>
      </c>
      <c r="H19" s="19">
        <v>5</v>
      </c>
      <c r="I19" s="29">
        <v>6</v>
      </c>
      <c r="J19" s="29">
        <v>15511.11</v>
      </c>
      <c r="K19" s="30">
        <f t="shared" si="2"/>
        <v>186133.32</v>
      </c>
      <c r="L19" s="29">
        <v>11525</v>
      </c>
      <c r="M19" s="18">
        <f t="shared" si="3"/>
        <v>138300</v>
      </c>
      <c r="N19" s="18">
        <f t="shared" si="4"/>
        <v>100762</v>
      </c>
      <c r="O19" s="18">
        <f t="shared" si="5"/>
        <v>50381</v>
      </c>
      <c r="P19" s="18">
        <f t="shared" si="6"/>
        <v>28030</v>
      </c>
      <c r="Q19" s="18">
        <f t="shared" si="7"/>
        <v>2993</v>
      </c>
      <c r="R19" s="18">
        <f t="shared" si="8"/>
        <v>47885</v>
      </c>
      <c r="S19" s="18"/>
      <c r="T19" s="18">
        <f t="shared" si="9"/>
        <v>5986</v>
      </c>
      <c r="U19" s="18">
        <f t="shared" si="10"/>
        <v>71827</v>
      </c>
      <c r="V19" s="18">
        <f t="shared" si="11"/>
        <v>1125</v>
      </c>
      <c r="W19" s="30">
        <f t="shared" si="12"/>
        <v>11212</v>
      </c>
    </row>
    <row r="20" spans="1:23" ht="21" customHeight="1">
      <c r="A20" s="15" t="s">
        <v>465</v>
      </c>
      <c r="B20" s="16">
        <v>30</v>
      </c>
      <c r="C20" s="16">
        <v>30</v>
      </c>
      <c r="D20" s="17">
        <v>89922</v>
      </c>
      <c r="E20" s="18">
        <f t="shared" si="0"/>
        <v>1079064</v>
      </c>
      <c r="F20" s="18">
        <v>59470</v>
      </c>
      <c r="G20" s="18">
        <f t="shared" si="1"/>
        <v>713640</v>
      </c>
      <c r="H20" s="19">
        <v>9</v>
      </c>
      <c r="I20" s="29">
        <v>9</v>
      </c>
      <c r="J20" s="29">
        <v>25883.27</v>
      </c>
      <c r="K20" s="30">
        <f t="shared" si="2"/>
        <v>310599.24</v>
      </c>
      <c r="L20" s="29">
        <v>17016</v>
      </c>
      <c r="M20" s="18">
        <f t="shared" si="3"/>
        <v>204192</v>
      </c>
      <c r="N20" s="18">
        <f t="shared" si="4"/>
        <v>301220</v>
      </c>
      <c r="O20" s="18">
        <f t="shared" si="5"/>
        <v>150610</v>
      </c>
      <c r="P20" s="18">
        <f t="shared" si="6"/>
        <v>69483</v>
      </c>
      <c r="Q20" s="18">
        <f t="shared" si="7"/>
        <v>8964</v>
      </c>
      <c r="R20" s="18">
        <f t="shared" si="8"/>
        <v>143416</v>
      </c>
      <c r="S20" s="18"/>
      <c r="T20" s="18">
        <f t="shared" si="9"/>
        <v>17927</v>
      </c>
      <c r="U20" s="18">
        <f t="shared" si="10"/>
        <v>215124</v>
      </c>
      <c r="V20" s="18">
        <f t="shared" si="11"/>
        <v>2925</v>
      </c>
      <c r="W20" s="30">
        <f t="shared" si="12"/>
        <v>27793</v>
      </c>
    </row>
    <row r="21" spans="1:23" ht="21" customHeight="1">
      <c r="A21" s="15" t="s">
        <v>466</v>
      </c>
      <c r="B21" s="16">
        <v>3</v>
      </c>
      <c r="C21" s="16">
        <v>4</v>
      </c>
      <c r="D21" s="17">
        <v>13320</v>
      </c>
      <c r="E21" s="18">
        <f t="shared" si="0"/>
        <v>159840</v>
      </c>
      <c r="F21" s="18">
        <v>8560</v>
      </c>
      <c r="G21" s="18">
        <f t="shared" si="1"/>
        <v>102720</v>
      </c>
      <c r="H21" s="19"/>
      <c r="I21" s="29">
        <v>0</v>
      </c>
      <c r="J21" s="29">
        <v>0</v>
      </c>
      <c r="K21" s="30">
        <f t="shared" si="2"/>
        <v>0</v>
      </c>
      <c r="L21" s="29">
        <v>0</v>
      </c>
      <c r="M21" s="18">
        <f t="shared" si="3"/>
        <v>0</v>
      </c>
      <c r="N21" s="18">
        <f t="shared" si="4"/>
        <v>44141</v>
      </c>
      <c r="O21" s="18">
        <f t="shared" si="5"/>
        <v>22070</v>
      </c>
      <c r="P21" s="18">
        <f t="shared" si="6"/>
        <v>7992</v>
      </c>
      <c r="Q21" s="18">
        <f t="shared" si="7"/>
        <v>1313</v>
      </c>
      <c r="R21" s="18">
        <f t="shared" si="8"/>
        <v>21005</v>
      </c>
      <c r="S21" s="18"/>
      <c r="T21" s="18">
        <f t="shared" si="9"/>
        <v>2626</v>
      </c>
      <c r="U21" s="18">
        <f t="shared" si="10"/>
        <v>31507</v>
      </c>
      <c r="V21" s="18">
        <f t="shared" si="11"/>
        <v>300</v>
      </c>
      <c r="W21" s="30">
        <f t="shared" si="12"/>
        <v>3197</v>
      </c>
    </row>
    <row r="22" spans="1:23" ht="21" customHeight="1">
      <c r="A22" s="15" t="s">
        <v>467</v>
      </c>
      <c r="B22" s="16">
        <v>1</v>
      </c>
      <c r="C22" s="16">
        <v>1</v>
      </c>
      <c r="D22" s="17">
        <v>3583</v>
      </c>
      <c r="E22" s="18">
        <f t="shared" si="0"/>
        <v>42996</v>
      </c>
      <c r="F22" s="18">
        <v>2140</v>
      </c>
      <c r="G22" s="18">
        <f t="shared" si="1"/>
        <v>25680</v>
      </c>
      <c r="H22" s="19">
        <v>3</v>
      </c>
      <c r="I22" s="29">
        <v>3</v>
      </c>
      <c r="J22" s="29">
        <v>8580.25</v>
      </c>
      <c r="K22" s="30">
        <f t="shared" si="2"/>
        <v>102963</v>
      </c>
      <c r="L22" s="29">
        <v>5853</v>
      </c>
      <c r="M22" s="18">
        <f t="shared" si="3"/>
        <v>70236</v>
      </c>
      <c r="N22" s="18">
        <f t="shared" si="4"/>
        <v>11561</v>
      </c>
      <c r="O22" s="18">
        <f t="shared" si="5"/>
        <v>5781</v>
      </c>
      <c r="P22" s="18">
        <f t="shared" si="6"/>
        <v>7298</v>
      </c>
      <c r="Q22" s="18">
        <f t="shared" si="7"/>
        <v>343</v>
      </c>
      <c r="R22" s="18">
        <f t="shared" si="8"/>
        <v>5494</v>
      </c>
      <c r="S22" s="18"/>
      <c r="T22" s="18">
        <f t="shared" si="9"/>
        <v>687</v>
      </c>
      <c r="U22" s="18">
        <f t="shared" si="10"/>
        <v>8241</v>
      </c>
      <c r="V22" s="18">
        <f t="shared" si="11"/>
        <v>300</v>
      </c>
      <c r="W22" s="30">
        <f t="shared" si="12"/>
        <v>2919</v>
      </c>
    </row>
    <row r="23" spans="1:23" ht="21" customHeight="1">
      <c r="A23" s="15" t="s">
        <v>468</v>
      </c>
      <c r="B23" s="16">
        <v>1</v>
      </c>
      <c r="C23" s="16">
        <f>2+2</f>
        <v>4</v>
      </c>
      <c r="D23" s="17">
        <f>6292+2324*2</f>
        <v>10940</v>
      </c>
      <c r="E23" s="18">
        <f t="shared" si="0"/>
        <v>131280</v>
      </c>
      <c r="F23" s="18">
        <f>4100+1845*2</f>
        <v>7790</v>
      </c>
      <c r="G23" s="18">
        <f t="shared" si="1"/>
        <v>93480</v>
      </c>
      <c r="H23" s="19">
        <v>1</v>
      </c>
      <c r="I23" s="29">
        <v>1</v>
      </c>
      <c r="J23" s="29">
        <v>2552.21</v>
      </c>
      <c r="K23" s="30">
        <f t="shared" si="2"/>
        <v>30626.52</v>
      </c>
      <c r="L23" s="29">
        <v>1951</v>
      </c>
      <c r="M23" s="18">
        <f t="shared" si="3"/>
        <v>23412</v>
      </c>
      <c r="N23" s="18">
        <f t="shared" si="4"/>
        <v>37712</v>
      </c>
      <c r="O23" s="18">
        <f t="shared" si="5"/>
        <v>18856</v>
      </c>
      <c r="P23" s="18">
        <f t="shared" si="6"/>
        <v>8095</v>
      </c>
      <c r="Q23" s="18">
        <f t="shared" si="7"/>
        <v>1124</v>
      </c>
      <c r="R23" s="18">
        <f t="shared" si="8"/>
        <v>17981</v>
      </c>
      <c r="S23" s="18"/>
      <c r="T23" s="18">
        <f t="shared" si="9"/>
        <v>2248</v>
      </c>
      <c r="U23" s="18">
        <f t="shared" si="10"/>
        <v>26971</v>
      </c>
      <c r="V23" s="18">
        <f t="shared" si="11"/>
        <v>375</v>
      </c>
      <c r="W23" s="30">
        <f t="shared" si="12"/>
        <v>3238</v>
      </c>
    </row>
    <row r="24" spans="1:23" ht="21" customHeight="1">
      <c r="A24" s="15" t="s">
        <v>469</v>
      </c>
      <c r="B24" s="16">
        <v>5</v>
      </c>
      <c r="C24" s="16">
        <v>5</v>
      </c>
      <c r="D24" s="17">
        <v>20260</v>
      </c>
      <c r="E24" s="18">
        <f t="shared" si="0"/>
        <v>243120</v>
      </c>
      <c r="F24" s="18">
        <v>10730</v>
      </c>
      <c r="G24" s="18">
        <f t="shared" si="1"/>
        <v>128760</v>
      </c>
      <c r="H24" s="19">
        <v>3</v>
      </c>
      <c r="I24" s="29">
        <v>3</v>
      </c>
      <c r="J24" s="29">
        <v>8124.52</v>
      </c>
      <c r="K24" s="30">
        <f t="shared" si="2"/>
        <v>97494.24</v>
      </c>
      <c r="L24" s="29">
        <v>5853</v>
      </c>
      <c r="M24" s="18">
        <f t="shared" si="3"/>
        <v>70236</v>
      </c>
      <c r="N24" s="18">
        <f t="shared" si="4"/>
        <v>62742</v>
      </c>
      <c r="O24" s="18">
        <f t="shared" si="5"/>
        <v>31371</v>
      </c>
      <c r="P24" s="18">
        <f t="shared" si="6"/>
        <v>17031</v>
      </c>
      <c r="Q24" s="18">
        <f t="shared" si="7"/>
        <v>1859</v>
      </c>
      <c r="R24" s="18">
        <f t="shared" si="8"/>
        <v>29750</v>
      </c>
      <c r="S24" s="18"/>
      <c r="T24" s="18">
        <f t="shared" si="9"/>
        <v>3719</v>
      </c>
      <c r="U24" s="18">
        <f t="shared" si="10"/>
        <v>44626</v>
      </c>
      <c r="V24" s="18">
        <f t="shared" si="11"/>
        <v>600</v>
      </c>
      <c r="W24" s="30">
        <f t="shared" si="12"/>
        <v>6812</v>
      </c>
    </row>
    <row r="25" spans="1:23" ht="21" customHeight="1">
      <c r="A25" s="15" t="s">
        <v>470</v>
      </c>
      <c r="B25" s="16">
        <v>3</v>
      </c>
      <c r="C25" s="16">
        <v>3</v>
      </c>
      <c r="D25" s="17">
        <v>9692</v>
      </c>
      <c r="E25" s="18">
        <f t="shared" si="0"/>
        <v>116304</v>
      </c>
      <c r="F25" s="18">
        <v>6060</v>
      </c>
      <c r="G25" s="18">
        <f t="shared" si="1"/>
        <v>72720</v>
      </c>
      <c r="H25" s="19">
        <v>5</v>
      </c>
      <c r="I25" s="29">
        <v>5</v>
      </c>
      <c r="J25" s="29">
        <v>13830.05</v>
      </c>
      <c r="K25" s="30">
        <f t="shared" si="2"/>
        <v>165960.6</v>
      </c>
      <c r="L25" s="29">
        <v>9574</v>
      </c>
      <c r="M25" s="18">
        <f t="shared" si="3"/>
        <v>114888</v>
      </c>
      <c r="N25" s="18">
        <f t="shared" si="4"/>
        <v>31795</v>
      </c>
      <c r="O25" s="18">
        <f t="shared" si="5"/>
        <v>15897</v>
      </c>
      <c r="P25" s="18">
        <f t="shared" si="6"/>
        <v>14113</v>
      </c>
      <c r="Q25" s="18">
        <f t="shared" si="7"/>
        <v>945</v>
      </c>
      <c r="R25" s="18">
        <f t="shared" si="8"/>
        <v>15122</v>
      </c>
      <c r="S25" s="18"/>
      <c r="T25" s="18">
        <f t="shared" si="9"/>
        <v>1890</v>
      </c>
      <c r="U25" s="18">
        <f t="shared" si="10"/>
        <v>22683</v>
      </c>
      <c r="V25" s="18">
        <f t="shared" si="11"/>
        <v>600</v>
      </c>
      <c r="W25" s="30">
        <f t="shared" si="12"/>
        <v>5645</v>
      </c>
    </row>
    <row r="26" spans="1:23" ht="21" customHeight="1">
      <c r="A26" s="15" t="s">
        <v>471</v>
      </c>
      <c r="B26" s="16">
        <v>6</v>
      </c>
      <c r="C26" s="16">
        <v>7</v>
      </c>
      <c r="D26" s="17">
        <v>21967</v>
      </c>
      <c r="E26" s="18">
        <f t="shared" si="0"/>
        <v>263604</v>
      </c>
      <c r="F26" s="18">
        <v>13940</v>
      </c>
      <c r="G26" s="18">
        <f t="shared" si="1"/>
        <v>167280</v>
      </c>
      <c r="H26" s="19">
        <v>4</v>
      </c>
      <c r="I26" s="29">
        <v>4</v>
      </c>
      <c r="J26" s="29">
        <v>11317.98</v>
      </c>
      <c r="K26" s="30">
        <f t="shared" si="2"/>
        <v>135815.76</v>
      </c>
      <c r="L26" s="29">
        <v>7804</v>
      </c>
      <c r="M26" s="18">
        <f t="shared" si="3"/>
        <v>93648</v>
      </c>
      <c r="N26" s="18">
        <f t="shared" si="4"/>
        <v>72456</v>
      </c>
      <c r="O26" s="18">
        <f t="shared" si="5"/>
        <v>36228</v>
      </c>
      <c r="P26" s="18">
        <f t="shared" si="6"/>
        <v>19971</v>
      </c>
      <c r="Q26" s="18">
        <f t="shared" si="7"/>
        <v>2154</v>
      </c>
      <c r="R26" s="18">
        <f t="shared" si="8"/>
        <v>34471</v>
      </c>
      <c r="S26" s="18"/>
      <c r="T26" s="18">
        <f t="shared" si="9"/>
        <v>4309</v>
      </c>
      <c r="U26" s="18">
        <f t="shared" si="10"/>
        <v>51706</v>
      </c>
      <c r="V26" s="18">
        <f t="shared" si="11"/>
        <v>825</v>
      </c>
      <c r="W26" s="30">
        <f t="shared" si="12"/>
        <v>7988</v>
      </c>
    </row>
    <row r="27" spans="1:23" ht="21" customHeight="1">
      <c r="A27" s="15" t="s">
        <v>472</v>
      </c>
      <c r="B27" s="16">
        <v>2</v>
      </c>
      <c r="C27" s="16"/>
      <c r="D27" s="17">
        <v>0</v>
      </c>
      <c r="E27" s="18">
        <f t="shared" si="0"/>
        <v>0</v>
      </c>
      <c r="F27" s="18">
        <v>0</v>
      </c>
      <c r="G27" s="18">
        <f t="shared" si="1"/>
        <v>0</v>
      </c>
      <c r="H27" s="19"/>
      <c r="I27" s="29">
        <v>0</v>
      </c>
      <c r="J27" s="29">
        <v>0</v>
      </c>
      <c r="K27" s="30">
        <f t="shared" si="2"/>
        <v>0</v>
      </c>
      <c r="L27" s="29"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  <c r="P27" s="18">
        <f t="shared" si="6"/>
        <v>0</v>
      </c>
      <c r="Q27" s="18">
        <f t="shared" si="7"/>
        <v>0</v>
      </c>
      <c r="R27" s="18">
        <f t="shared" si="8"/>
        <v>0</v>
      </c>
      <c r="S27" s="18"/>
      <c r="T27" s="18">
        <f t="shared" si="9"/>
        <v>0</v>
      </c>
      <c r="U27" s="18">
        <f t="shared" si="10"/>
        <v>0</v>
      </c>
      <c r="V27" s="18">
        <f t="shared" si="11"/>
        <v>0</v>
      </c>
      <c r="W27" s="30">
        <f t="shared" si="12"/>
        <v>0</v>
      </c>
    </row>
    <row r="28" spans="1:23" ht="21" customHeight="1">
      <c r="A28" s="15" t="s">
        <v>473</v>
      </c>
      <c r="B28" s="16">
        <v>2</v>
      </c>
      <c r="C28" s="16">
        <v>2</v>
      </c>
      <c r="D28" s="17">
        <f>2665+2324</f>
        <v>4989</v>
      </c>
      <c r="E28" s="18">
        <f t="shared" si="0"/>
        <v>59868</v>
      </c>
      <c r="F28" s="18">
        <f>1960+1845</f>
        <v>3805</v>
      </c>
      <c r="G28" s="18">
        <f t="shared" si="1"/>
        <v>45660</v>
      </c>
      <c r="H28" s="19"/>
      <c r="I28" s="29">
        <v>0</v>
      </c>
      <c r="J28" s="29">
        <v>0</v>
      </c>
      <c r="K28" s="30">
        <f t="shared" si="2"/>
        <v>0</v>
      </c>
      <c r="L28" s="29">
        <v>0</v>
      </c>
      <c r="M28" s="18">
        <f t="shared" si="3"/>
        <v>0</v>
      </c>
      <c r="N28" s="18">
        <f t="shared" si="4"/>
        <v>17683</v>
      </c>
      <c r="O28" s="18">
        <f t="shared" si="5"/>
        <v>8841</v>
      </c>
      <c r="P28" s="18">
        <f t="shared" si="6"/>
        <v>2993</v>
      </c>
      <c r="Q28" s="18">
        <f t="shared" si="7"/>
        <v>528</v>
      </c>
      <c r="R28" s="18">
        <f t="shared" si="8"/>
        <v>8442</v>
      </c>
      <c r="S28" s="18"/>
      <c r="T28" s="18">
        <f t="shared" si="9"/>
        <v>1055</v>
      </c>
      <c r="U28" s="18">
        <f t="shared" si="10"/>
        <v>12663</v>
      </c>
      <c r="V28" s="18">
        <f t="shared" si="11"/>
        <v>150</v>
      </c>
      <c r="W28" s="30">
        <f t="shared" si="12"/>
        <v>1197</v>
      </c>
    </row>
    <row r="29" spans="1:23" ht="21" customHeight="1">
      <c r="A29" s="15" t="s">
        <v>474</v>
      </c>
      <c r="B29" s="16">
        <v>8</v>
      </c>
      <c r="C29" s="16">
        <v>7</v>
      </c>
      <c r="D29" s="17">
        <v>25468</v>
      </c>
      <c r="E29" s="18">
        <f t="shared" si="0"/>
        <v>305616</v>
      </c>
      <c r="F29" s="18">
        <v>14860</v>
      </c>
      <c r="G29" s="18">
        <f t="shared" si="1"/>
        <v>178320</v>
      </c>
      <c r="H29" s="19"/>
      <c r="I29" s="29">
        <v>0</v>
      </c>
      <c r="J29" s="29">
        <v>0</v>
      </c>
      <c r="K29" s="30">
        <f t="shared" si="2"/>
        <v>0</v>
      </c>
      <c r="L29" s="29">
        <v>0</v>
      </c>
      <c r="M29" s="18">
        <f t="shared" si="3"/>
        <v>0</v>
      </c>
      <c r="N29" s="18">
        <f t="shared" si="4"/>
        <v>81505</v>
      </c>
      <c r="O29" s="18">
        <f t="shared" si="5"/>
        <v>40752</v>
      </c>
      <c r="P29" s="18">
        <f t="shared" si="6"/>
        <v>15281</v>
      </c>
      <c r="Q29" s="18">
        <f t="shared" si="7"/>
        <v>2420</v>
      </c>
      <c r="R29" s="18">
        <f t="shared" si="8"/>
        <v>38715</v>
      </c>
      <c r="S29" s="18"/>
      <c r="T29" s="18">
        <f t="shared" si="9"/>
        <v>4839</v>
      </c>
      <c r="U29" s="18">
        <f t="shared" si="10"/>
        <v>58072</v>
      </c>
      <c r="V29" s="18">
        <f t="shared" si="11"/>
        <v>525</v>
      </c>
      <c r="W29" s="30">
        <f t="shared" si="12"/>
        <v>6112</v>
      </c>
    </row>
    <row r="30" spans="1:23" ht="21" customHeight="1">
      <c r="A30" s="15" t="s">
        <v>475</v>
      </c>
      <c r="B30" s="16">
        <v>3</v>
      </c>
      <c r="C30" s="16">
        <v>3</v>
      </c>
      <c r="D30" s="17">
        <v>8601</v>
      </c>
      <c r="E30" s="18">
        <f t="shared" si="0"/>
        <v>103212</v>
      </c>
      <c r="F30" s="18">
        <v>6060</v>
      </c>
      <c r="G30" s="18">
        <f t="shared" si="1"/>
        <v>72720</v>
      </c>
      <c r="H30" s="19"/>
      <c r="I30" s="29">
        <v>0</v>
      </c>
      <c r="J30" s="29">
        <v>0</v>
      </c>
      <c r="K30" s="30">
        <f t="shared" si="2"/>
        <v>0</v>
      </c>
      <c r="L30" s="29">
        <v>0</v>
      </c>
      <c r="M30" s="18">
        <f t="shared" si="3"/>
        <v>0</v>
      </c>
      <c r="N30" s="18">
        <f t="shared" si="4"/>
        <v>29525</v>
      </c>
      <c r="O30" s="18">
        <f t="shared" si="5"/>
        <v>14763</v>
      </c>
      <c r="P30" s="18">
        <f t="shared" si="6"/>
        <v>5161</v>
      </c>
      <c r="Q30" s="18">
        <f t="shared" si="7"/>
        <v>880</v>
      </c>
      <c r="R30" s="18">
        <f t="shared" si="8"/>
        <v>14075</v>
      </c>
      <c r="S30" s="18"/>
      <c r="T30" s="18">
        <f t="shared" si="9"/>
        <v>1759</v>
      </c>
      <c r="U30" s="18">
        <f t="shared" si="10"/>
        <v>21112</v>
      </c>
      <c r="V30" s="18">
        <f t="shared" si="11"/>
        <v>225</v>
      </c>
      <c r="W30" s="30">
        <f t="shared" si="12"/>
        <v>2064</v>
      </c>
    </row>
    <row r="31" spans="1:23" ht="21" customHeight="1">
      <c r="A31" s="15" t="s">
        <v>476</v>
      </c>
      <c r="B31" s="16">
        <v>22</v>
      </c>
      <c r="C31" s="16">
        <v>93</v>
      </c>
      <c r="D31" s="17">
        <v>312859</v>
      </c>
      <c r="E31" s="18">
        <f t="shared" si="0"/>
        <v>3754308</v>
      </c>
      <c r="F31" s="18">
        <v>184640</v>
      </c>
      <c r="G31" s="18">
        <f t="shared" si="1"/>
        <v>2215680</v>
      </c>
      <c r="H31" s="19">
        <v>45</v>
      </c>
      <c r="I31" s="29">
        <v>56</v>
      </c>
      <c r="J31" s="29">
        <v>127264</v>
      </c>
      <c r="K31" s="30">
        <f t="shared" si="2"/>
        <v>1527168</v>
      </c>
      <c r="L31" s="29">
        <v>90839</v>
      </c>
      <c r="M31" s="18">
        <f t="shared" si="3"/>
        <v>1090068</v>
      </c>
      <c r="N31" s="18">
        <f t="shared" si="4"/>
        <v>1005256</v>
      </c>
      <c r="O31" s="18">
        <f t="shared" si="5"/>
        <v>502628</v>
      </c>
      <c r="P31" s="18">
        <f t="shared" si="6"/>
        <v>264074</v>
      </c>
      <c r="Q31" s="18">
        <f t="shared" si="7"/>
        <v>29850</v>
      </c>
      <c r="R31" s="18">
        <f t="shared" si="8"/>
        <v>477599</v>
      </c>
      <c r="S31" s="18"/>
      <c r="T31" s="18">
        <f t="shared" si="9"/>
        <v>59700</v>
      </c>
      <c r="U31" s="18">
        <f t="shared" si="10"/>
        <v>716399</v>
      </c>
      <c r="V31" s="18">
        <f t="shared" si="11"/>
        <v>11175</v>
      </c>
      <c r="W31" s="30">
        <f t="shared" si="12"/>
        <v>105630</v>
      </c>
    </row>
    <row r="32" spans="1:23" ht="21" customHeight="1">
      <c r="A32" s="15" t="s">
        <v>477</v>
      </c>
      <c r="B32" s="16">
        <v>3</v>
      </c>
      <c r="C32" s="16">
        <v>2</v>
      </c>
      <c r="D32" s="17">
        <v>7368</v>
      </c>
      <c r="E32" s="18">
        <f t="shared" si="0"/>
        <v>88416</v>
      </c>
      <c r="F32" s="18">
        <v>4310</v>
      </c>
      <c r="G32" s="18">
        <f t="shared" si="1"/>
        <v>51720</v>
      </c>
      <c r="H32" s="19"/>
      <c r="I32" s="29">
        <v>0</v>
      </c>
      <c r="J32" s="29">
        <v>0</v>
      </c>
      <c r="K32" s="30">
        <f t="shared" si="2"/>
        <v>0</v>
      </c>
      <c r="L32" s="29">
        <v>0</v>
      </c>
      <c r="M32" s="18">
        <f t="shared" si="3"/>
        <v>0</v>
      </c>
      <c r="N32" s="18">
        <f t="shared" si="4"/>
        <v>23601</v>
      </c>
      <c r="O32" s="18">
        <f t="shared" si="5"/>
        <v>11800</v>
      </c>
      <c r="P32" s="18">
        <f t="shared" si="6"/>
        <v>4421</v>
      </c>
      <c r="Q32" s="18">
        <f t="shared" si="7"/>
        <v>701</v>
      </c>
      <c r="R32" s="18">
        <f t="shared" si="8"/>
        <v>11211</v>
      </c>
      <c r="S32" s="18"/>
      <c r="T32" s="18">
        <f t="shared" si="9"/>
        <v>1401</v>
      </c>
      <c r="U32" s="18">
        <f t="shared" si="10"/>
        <v>16816</v>
      </c>
      <c r="V32" s="18">
        <f t="shared" si="11"/>
        <v>150</v>
      </c>
      <c r="W32" s="30">
        <f t="shared" si="12"/>
        <v>1768</v>
      </c>
    </row>
    <row r="33" spans="1:23" ht="21" customHeight="1">
      <c r="A33" s="15" t="s">
        <v>478</v>
      </c>
      <c r="B33" s="16">
        <v>6</v>
      </c>
      <c r="C33" s="16">
        <v>4</v>
      </c>
      <c r="D33" s="17">
        <v>12191</v>
      </c>
      <c r="E33" s="18">
        <f t="shared" si="0"/>
        <v>146292</v>
      </c>
      <c r="F33" s="18">
        <v>7905</v>
      </c>
      <c r="G33" s="18">
        <f t="shared" si="1"/>
        <v>94860</v>
      </c>
      <c r="H33" s="19">
        <v>1</v>
      </c>
      <c r="I33" s="19">
        <v>1</v>
      </c>
      <c r="J33" s="29">
        <v>2669</v>
      </c>
      <c r="K33" s="30">
        <f t="shared" si="2"/>
        <v>32028</v>
      </c>
      <c r="L33" s="18">
        <v>1551</v>
      </c>
      <c r="M33" s="18">
        <f t="shared" si="3"/>
        <v>18612</v>
      </c>
      <c r="N33" s="18">
        <f t="shared" si="4"/>
        <v>40535</v>
      </c>
      <c r="O33" s="18">
        <f t="shared" si="5"/>
        <v>20267</v>
      </c>
      <c r="P33" s="18">
        <f t="shared" si="6"/>
        <v>8916</v>
      </c>
      <c r="Q33" s="18">
        <f t="shared" si="7"/>
        <v>1206</v>
      </c>
      <c r="R33" s="18">
        <f t="shared" si="8"/>
        <v>19292</v>
      </c>
      <c r="S33" s="18"/>
      <c r="T33" s="18">
        <f t="shared" si="9"/>
        <v>2412</v>
      </c>
      <c r="U33" s="18">
        <f t="shared" si="10"/>
        <v>28938</v>
      </c>
      <c r="V33" s="18">
        <f t="shared" si="11"/>
        <v>375</v>
      </c>
      <c r="W33" s="30">
        <f t="shared" si="12"/>
        <v>3566</v>
      </c>
    </row>
    <row r="34" spans="1:23" ht="21" customHeight="1">
      <c r="A34" s="11" t="s">
        <v>479</v>
      </c>
      <c r="B34" s="20">
        <f t="shared" ref="B34:W34" si="13">SUM(B7:B33)</f>
        <v>362</v>
      </c>
      <c r="C34" s="20">
        <f t="shared" si="13"/>
        <v>427</v>
      </c>
      <c r="D34" s="20">
        <f t="shared" si="13"/>
        <v>1497312</v>
      </c>
      <c r="E34" s="20">
        <f t="shared" si="13"/>
        <v>17967744</v>
      </c>
      <c r="F34" s="20">
        <f t="shared" si="13"/>
        <v>882600</v>
      </c>
      <c r="G34" s="20">
        <f t="shared" si="13"/>
        <v>10591200</v>
      </c>
      <c r="H34" s="20">
        <f t="shared" si="13"/>
        <v>252</v>
      </c>
      <c r="I34" s="20">
        <f t="shared" si="13"/>
        <v>268</v>
      </c>
      <c r="J34" s="20">
        <f t="shared" si="13"/>
        <v>731734.61</v>
      </c>
      <c r="K34" s="20">
        <f t="shared" si="13"/>
        <v>8780815.3200000003</v>
      </c>
      <c r="L34" s="20">
        <f t="shared" si="13"/>
        <v>509535</v>
      </c>
      <c r="M34" s="20">
        <f t="shared" si="13"/>
        <v>6114420</v>
      </c>
      <c r="N34" s="20">
        <f t="shared" si="13"/>
        <v>4809001</v>
      </c>
      <c r="O34" s="20">
        <f t="shared" si="13"/>
        <v>2404498</v>
      </c>
      <c r="P34" s="20">
        <f t="shared" si="13"/>
        <v>1337429</v>
      </c>
      <c r="Q34" s="20">
        <f t="shared" si="13"/>
        <v>142797</v>
      </c>
      <c r="R34" s="20">
        <f t="shared" si="13"/>
        <v>2284714</v>
      </c>
      <c r="S34" s="20">
        <f t="shared" si="13"/>
        <v>0</v>
      </c>
      <c r="T34" s="20">
        <f t="shared" si="13"/>
        <v>285593</v>
      </c>
      <c r="U34" s="20">
        <f t="shared" si="13"/>
        <v>3427072</v>
      </c>
      <c r="V34" s="20">
        <f t="shared" si="13"/>
        <v>52125</v>
      </c>
      <c r="W34" s="20">
        <f t="shared" si="13"/>
        <v>534968</v>
      </c>
    </row>
    <row r="35" spans="1:23" ht="21" customHeigh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ht="21" customHeight="1">
      <c r="A36" s="23" t="s">
        <v>480</v>
      </c>
      <c r="B36" s="24">
        <v>14</v>
      </c>
      <c r="C36" s="24">
        <v>14</v>
      </c>
      <c r="D36" s="24">
        <v>51798</v>
      </c>
      <c r="E36" s="18">
        <f t="shared" ref="E36:E54" si="14">D36*12</f>
        <v>621576</v>
      </c>
      <c r="F36" s="24">
        <f>59365-1900*16</f>
        <v>28965</v>
      </c>
      <c r="G36" s="18">
        <f t="shared" ref="G36:G54" si="15">F36*12</f>
        <v>347580</v>
      </c>
      <c r="H36" s="24">
        <v>21</v>
      </c>
      <c r="I36" s="24">
        <v>37</v>
      </c>
      <c r="J36" s="24">
        <v>106492</v>
      </c>
      <c r="K36" s="30">
        <f t="shared" ref="K36:K54" si="16">J36*12</f>
        <v>1277904</v>
      </c>
      <c r="L36" s="24">
        <v>71557</v>
      </c>
      <c r="M36" s="18">
        <f t="shared" ref="M36:M54" si="17">L36*12</f>
        <v>858684</v>
      </c>
      <c r="N36" s="18">
        <f t="shared" ref="N36:N54" si="18">ROUND((E36+G36)*0.16+D36*0.16,0)</f>
        <v>163353</v>
      </c>
      <c r="O36" s="18">
        <f t="shared" ref="O36:O54" si="19">ROUND((E36+G36)*0.08+D36*0.08,0)</f>
        <v>81676</v>
      </c>
      <c r="P36" s="18">
        <f t="shared" ref="P36:P54" si="20">ROUND((E36+K36)*0.05,0)</f>
        <v>94974</v>
      </c>
      <c r="Q36" s="18">
        <f t="shared" ref="Q36:Q54" si="21">ROUND((E36+G36)*0.005,0)</f>
        <v>4846</v>
      </c>
      <c r="R36" s="18">
        <f t="shared" ref="R36:R54" si="22">ROUND((E36+G36)*0.08,0)</f>
        <v>77532</v>
      </c>
      <c r="S36" s="18"/>
      <c r="T36" s="18">
        <f t="shared" ref="T36:T54" si="23">ROUND((E36+G36)*0.01,0)</f>
        <v>9692</v>
      </c>
      <c r="U36" s="18">
        <f t="shared" ref="U36:U54" si="24">ROUND((E36+G36)*0.12,0)</f>
        <v>116299</v>
      </c>
      <c r="V36" s="18">
        <f t="shared" ref="V36:V54" si="25">ROUND((C36+I36)*75,0)</f>
        <v>3825</v>
      </c>
      <c r="W36" s="30">
        <f t="shared" ref="W36:W54" si="26">ROUND((E36+K36)*0.02,0)</f>
        <v>37990</v>
      </c>
    </row>
    <row r="37" spans="1:23" ht="21" customHeight="1">
      <c r="A37" s="15" t="s">
        <v>481</v>
      </c>
      <c r="B37" s="18">
        <v>10</v>
      </c>
      <c r="C37" s="18">
        <v>8</v>
      </c>
      <c r="D37" s="18">
        <v>24990</v>
      </c>
      <c r="E37" s="18">
        <f t="shared" si="14"/>
        <v>299880</v>
      </c>
      <c r="F37" s="18">
        <v>16210</v>
      </c>
      <c r="G37" s="18">
        <f t="shared" si="15"/>
        <v>194520</v>
      </c>
      <c r="H37" s="18">
        <v>5</v>
      </c>
      <c r="I37" s="18">
        <v>7</v>
      </c>
      <c r="J37" s="18">
        <v>20846</v>
      </c>
      <c r="K37" s="18">
        <f t="shared" si="16"/>
        <v>250152</v>
      </c>
      <c r="L37" s="18">
        <v>13846</v>
      </c>
      <c r="M37" s="18">
        <f t="shared" si="17"/>
        <v>166152</v>
      </c>
      <c r="N37" s="18">
        <f t="shared" si="18"/>
        <v>83102</v>
      </c>
      <c r="O37" s="18">
        <f t="shared" si="19"/>
        <v>41551</v>
      </c>
      <c r="P37" s="18">
        <f t="shared" si="20"/>
        <v>27502</v>
      </c>
      <c r="Q37" s="18">
        <f t="shared" si="21"/>
        <v>2472</v>
      </c>
      <c r="R37" s="18">
        <f t="shared" si="22"/>
        <v>39552</v>
      </c>
      <c r="S37" s="18"/>
      <c r="T37" s="18">
        <f t="shared" si="23"/>
        <v>4944</v>
      </c>
      <c r="U37" s="18">
        <f t="shared" si="24"/>
        <v>59328</v>
      </c>
      <c r="V37" s="18">
        <f t="shared" si="25"/>
        <v>1125</v>
      </c>
      <c r="W37" s="30">
        <f t="shared" si="26"/>
        <v>11001</v>
      </c>
    </row>
    <row r="38" spans="1:23" ht="21" customHeight="1">
      <c r="A38" s="25" t="s">
        <v>482</v>
      </c>
      <c r="B38" s="20">
        <f t="shared" ref="B38:W38" si="27">SUM(B36:B37)</f>
        <v>24</v>
      </c>
      <c r="C38" s="20">
        <f t="shared" si="27"/>
        <v>22</v>
      </c>
      <c r="D38" s="20">
        <f t="shared" si="27"/>
        <v>76788</v>
      </c>
      <c r="E38" s="20">
        <f t="shared" si="27"/>
        <v>921456</v>
      </c>
      <c r="F38" s="20">
        <f t="shared" si="27"/>
        <v>45175</v>
      </c>
      <c r="G38" s="20">
        <f t="shared" si="27"/>
        <v>542100</v>
      </c>
      <c r="H38" s="20">
        <f t="shared" si="27"/>
        <v>26</v>
      </c>
      <c r="I38" s="20">
        <f t="shared" si="27"/>
        <v>44</v>
      </c>
      <c r="J38" s="20">
        <f t="shared" si="27"/>
        <v>127338</v>
      </c>
      <c r="K38" s="20">
        <f t="shared" si="27"/>
        <v>1528056</v>
      </c>
      <c r="L38" s="20">
        <f t="shared" si="27"/>
        <v>85403</v>
      </c>
      <c r="M38" s="20">
        <f t="shared" si="27"/>
        <v>1024836</v>
      </c>
      <c r="N38" s="20">
        <f t="shared" si="27"/>
        <v>246455</v>
      </c>
      <c r="O38" s="20">
        <f t="shared" si="27"/>
        <v>123227</v>
      </c>
      <c r="P38" s="20">
        <f t="shared" si="27"/>
        <v>122476</v>
      </c>
      <c r="Q38" s="20">
        <f t="shared" si="27"/>
        <v>7318</v>
      </c>
      <c r="R38" s="20">
        <f t="shared" si="27"/>
        <v>117084</v>
      </c>
      <c r="S38" s="20">
        <f t="shared" si="27"/>
        <v>0</v>
      </c>
      <c r="T38" s="20">
        <f t="shared" si="27"/>
        <v>14636</v>
      </c>
      <c r="U38" s="20">
        <f t="shared" si="27"/>
        <v>175627</v>
      </c>
      <c r="V38" s="20">
        <f t="shared" si="27"/>
        <v>4950</v>
      </c>
      <c r="W38" s="20">
        <f t="shared" si="27"/>
        <v>48991</v>
      </c>
    </row>
    <row r="39" spans="1:23" s="1" customFormat="1" ht="21" customHeight="1">
      <c r="A39" s="26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1"/>
      <c r="W39" s="21"/>
    </row>
    <row r="40" spans="1:23" ht="21" customHeight="1">
      <c r="A40" s="15" t="s">
        <v>483</v>
      </c>
      <c r="B40" s="18">
        <v>8</v>
      </c>
      <c r="C40" s="18">
        <v>13</v>
      </c>
      <c r="D40" s="18">
        <v>48527</v>
      </c>
      <c r="E40" s="18">
        <f t="shared" si="14"/>
        <v>582324</v>
      </c>
      <c r="F40" s="18">
        <v>27160</v>
      </c>
      <c r="G40" s="18">
        <f t="shared" si="15"/>
        <v>325920</v>
      </c>
      <c r="H40" s="18">
        <v>14</v>
      </c>
      <c r="I40" s="18">
        <v>15</v>
      </c>
      <c r="J40" s="18">
        <v>42374</v>
      </c>
      <c r="K40" s="18">
        <f t="shared" si="16"/>
        <v>508488</v>
      </c>
      <c r="L40" s="18">
        <v>27551</v>
      </c>
      <c r="M40" s="18">
        <f t="shared" si="17"/>
        <v>330612</v>
      </c>
      <c r="N40" s="18">
        <f t="shared" si="18"/>
        <v>153083</v>
      </c>
      <c r="O40" s="18">
        <f t="shared" si="19"/>
        <v>76542</v>
      </c>
      <c r="P40" s="18">
        <f t="shared" si="20"/>
        <v>54541</v>
      </c>
      <c r="Q40" s="18">
        <f t="shared" si="21"/>
        <v>4541</v>
      </c>
      <c r="R40" s="18">
        <f t="shared" si="22"/>
        <v>72660</v>
      </c>
      <c r="S40" s="18"/>
      <c r="T40" s="18">
        <f t="shared" si="23"/>
        <v>9082</v>
      </c>
      <c r="U40" s="18">
        <f t="shared" si="24"/>
        <v>108989</v>
      </c>
      <c r="V40" s="18">
        <f t="shared" si="25"/>
        <v>2100</v>
      </c>
      <c r="W40" s="30">
        <f t="shared" si="26"/>
        <v>21816</v>
      </c>
    </row>
    <row r="41" spans="1:23" ht="21" customHeight="1">
      <c r="A41" s="15" t="s">
        <v>484</v>
      </c>
      <c r="B41" s="18">
        <v>6</v>
      </c>
      <c r="C41" s="18">
        <v>6</v>
      </c>
      <c r="D41" s="18">
        <v>20585</v>
      </c>
      <c r="E41" s="18">
        <f t="shared" si="14"/>
        <v>247020</v>
      </c>
      <c r="F41" s="18">
        <v>12510</v>
      </c>
      <c r="G41" s="18">
        <f t="shared" si="15"/>
        <v>150120</v>
      </c>
      <c r="H41" s="18"/>
      <c r="I41" s="18"/>
      <c r="J41" s="18"/>
      <c r="K41" s="18">
        <f t="shared" si="16"/>
        <v>0</v>
      </c>
      <c r="L41" s="18"/>
      <c r="M41" s="18">
        <f t="shared" si="17"/>
        <v>0</v>
      </c>
      <c r="N41" s="18">
        <f t="shared" si="18"/>
        <v>66836</v>
      </c>
      <c r="O41" s="18">
        <f t="shared" si="19"/>
        <v>33418</v>
      </c>
      <c r="P41" s="18">
        <f t="shared" si="20"/>
        <v>12351</v>
      </c>
      <c r="Q41" s="18">
        <f t="shared" si="21"/>
        <v>1986</v>
      </c>
      <c r="R41" s="18">
        <f t="shared" si="22"/>
        <v>31771</v>
      </c>
      <c r="S41" s="18"/>
      <c r="T41" s="18">
        <f t="shared" si="23"/>
        <v>3971</v>
      </c>
      <c r="U41" s="18">
        <f t="shared" si="24"/>
        <v>47657</v>
      </c>
      <c r="V41" s="18">
        <f t="shared" si="25"/>
        <v>450</v>
      </c>
      <c r="W41" s="30">
        <f t="shared" si="26"/>
        <v>4940</v>
      </c>
    </row>
    <row r="42" spans="1:23" ht="21" customHeight="1">
      <c r="A42" s="15" t="s">
        <v>485</v>
      </c>
      <c r="B42" s="18">
        <v>3</v>
      </c>
      <c r="C42" s="18">
        <v>1</v>
      </c>
      <c r="D42" s="18">
        <v>3276</v>
      </c>
      <c r="E42" s="18">
        <f t="shared" si="14"/>
        <v>39312</v>
      </c>
      <c r="F42" s="18">
        <v>1890</v>
      </c>
      <c r="G42" s="18">
        <f t="shared" si="15"/>
        <v>22680</v>
      </c>
      <c r="H42" s="18">
        <v>2</v>
      </c>
      <c r="I42" s="18">
        <v>2</v>
      </c>
      <c r="J42" s="18">
        <v>4738</v>
      </c>
      <c r="K42" s="18">
        <f t="shared" si="16"/>
        <v>56856</v>
      </c>
      <c r="L42" s="18">
        <v>3319</v>
      </c>
      <c r="M42" s="18">
        <f t="shared" si="17"/>
        <v>39828</v>
      </c>
      <c r="N42" s="18">
        <f t="shared" si="18"/>
        <v>10443</v>
      </c>
      <c r="O42" s="18">
        <f t="shared" si="19"/>
        <v>5221</v>
      </c>
      <c r="P42" s="18">
        <f t="shared" si="20"/>
        <v>4808</v>
      </c>
      <c r="Q42" s="18">
        <f t="shared" si="21"/>
        <v>310</v>
      </c>
      <c r="R42" s="18">
        <f t="shared" si="22"/>
        <v>4959</v>
      </c>
      <c r="S42" s="18"/>
      <c r="T42" s="18">
        <f t="shared" si="23"/>
        <v>620</v>
      </c>
      <c r="U42" s="18">
        <f t="shared" si="24"/>
        <v>7439</v>
      </c>
      <c r="V42" s="18">
        <f t="shared" si="25"/>
        <v>225</v>
      </c>
      <c r="W42" s="30">
        <f t="shared" si="26"/>
        <v>1923</v>
      </c>
    </row>
    <row r="43" spans="1:23" ht="21" customHeight="1">
      <c r="A43" s="15" t="s">
        <v>486</v>
      </c>
      <c r="B43" s="18">
        <v>25</v>
      </c>
      <c r="C43" s="18">
        <v>21</v>
      </c>
      <c r="D43" s="18">
        <v>76505</v>
      </c>
      <c r="E43" s="18">
        <f t="shared" si="14"/>
        <v>918060</v>
      </c>
      <c r="F43" s="18">
        <v>43520</v>
      </c>
      <c r="G43" s="18">
        <f t="shared" si="15"/>
        <v>522240</v>
      </c>
      <c r="H43" s="18">
        <v>19</v>
      </c>
      <c r="I43" s="18">
        <v>21</v>
      </c>
      <c r="J43" s="18">
        <v>53769</v>
      </c>
      <c r="K43" s="18">
        <f t="shared" si="16"/>
        <v>645228</v>
      </c>
      <c r="L43" s="18">
        <v>39684</v>
      </c>
      <c r="M43" s="18">
        <f t="shared" si="17"/>
        <v>476208</v>
      </c>
      <c r="N43" s="18">
        <f t="shared" si="18"/>
        <v>242689</v>
      </c>
      <c r="O43" s="18">
        <f t="shared" si="19"/>
        <v>121344</v>
      </c>
      <c r="P43" s="18">
        <f t="shared" si="20"/>
        <v>78164</v>
      </c>
      <c r="Q43" s="18">
        <f t="shared" si="21"/>
        <v>7202</v>
      </c>
      <c r="R43" s="18">
        <f t="shared" si="22"/>
        <v>115224</v>
      </c>
      <c r="S43" s="18"/>
      <c r="T43" s="18">
        <f t="shared" si="23"/>
        <v>14403</v>
      </c>
      <c r="U43" s="18">
        <f t="shared" si="24"/>
        <v>172836</v>
      </c>
      <c r="V43" s="18">
        <f t="shared" si="25"/>
        <v>3150</v>
      </c>
      <c r="W43" s="30">
        <f t="shared" si="26"/>
        <v>31266</v>
      </c>
    </row>
    <row r="44" spans="1:23" s="1" customFormat="1" ht="21" customHeight="1">
      <c r="A44" s="15" t="s">
        <v>487</v>
      </c>
      <c r="B44" s="18">
        <v>15</v>
      </c>
      <c r="C44" s="18">
        <v>14</v>
      </c>
      <c r="D44" s="18">
        <v>43138</v>
      </c>
      <c r="E44" s="18">
        <f t="shared" si="14"/>
        <v>517656</v>
      </c>
      <c r="F44" s="18">
        <v>27055</v>
      </c>
      <c r="G44" s="18">
        <f t="shared" si="15"/>
        <v>324660</v>
      </c>
      <c r="H44" s="18"/>
      <c r="I44" s="18"/>
      <c r="J44" s="18"/>
      <c r="K44" s="18">
        <f t="shared" si="16"/>
        <v>0</v>
      </c>
      <c r="L44" s="18"/>
      <c r="M44" s="18">
        <f t="shared" si="17"/>
        <v>0</v>
      </c>
      <c r="N44" s="18">
        <f t="shared" si="18"/>
        <v>141673</v>
      </c>
      <c r="O44" s="18">
        <f t="shared" si="19"/>
        <v>70836</v>
      </c>
      <c r="P44" s="18">
        <f t="shared" si="20"/>
        <v>25883</v>
      </c>
      <c r="Q44" s="18">
        <f t="shared" si="21"/>
        <v>4212</v>
      </c>
      <c r="R44" s="18">
        <f t="shared" si="22"/>
        <v>67385</v>
      </c>
      <c r="S44" s="18"/>
      <c r="T44" s="18">
        <f t="shared" si="23"/>
        <v>8423</v>
      </c>
      <c r="U44" s="18">
        <f t="shared" si="24"/>
        <v>101078</v>
      </c>
      <c r="V44" s="18">
        <f t="shared" si="25"/>
        <v>1050</v>
      </c>
      <c r="W44" s="30">
        <f t="shared" si="26"/>
        <v>10353</v>
      </c>
    </row>
    <row r="45" spans="1:23" ht="21" customHeight="1">
      <c r="A45" s="15" t="s">
        <v>488</v>
      </c>
      <c r="B45" s="18"/>
      <c r="C45" s="18"/>
      <c r="D45" s="18"/>
      <c r="E45" s="18">
        <f t="shared" si="14"/>
        <v>0</v>
      </c>
      <c r="F45" s="18"/>
      <c r="G45" s="18">
        <f t="shared" si="15"/>
        <v>0</v>
      </c>
      <c r="H45" s="18">
        <v>25</v>
      </c>
      <c r="I45" s="18">
        <v>25</v>
      </c>
      <c r="J45" s="18">
        <v>63799</v>
      </c>
      <c r="K45" s="18">
        <f t="shared" si="16"/>
        <v>765588</v>
      </c>
      <c r="L45" s="18">
        <v>40864</v>
      </c>
      <c r="M45" s="18">
        <f t="shared" si="17"/>
        <v>490368</v>
      </c>
      <c r="N45" s="18">
        <f t="shared" si="18"/>
        <v>0</v>
      </c>
      <c r="O45" s="18">
        <f t="shared" si="19"/>
        <v>0</v>
      </c>
      <c r="P45" s="18">
        <f t="shared" si="20"/>
        <v>38279</v>
      </c>
      <c r="Q45" s="18">
        <f t="shared" si="21"/>
        <v>0</v>
      </c>
      <c r="R45" s="18">
        <f t="shared" si="22"/>
        <v>0</v>
      </c>
      <c r="S45" s="18"/>
      <c r="T45" s="18">
        <f t="shared" si="23"/>
        <v>0</v>
      </c>
      <c r="U45" s="18">
        <f t="shared" si="24"/>
        <v>0</v>
      </c>
      <c r="V45" s="18">
        <f t="shared" si="25"/>
        <v>1875</v>
      </c>
      <c r="W45" s="30">
        <f t="shared" si="26"/>
        <v>15312</v>
      </c>
    </row>
    <row r="46" spans="1:23" ht="21" customHeight="1">
      <c r="A46" s="15" t="s">
        <v>489</v>
      </c>
      <c r="B46" s="18">
        <v>7</v>
      </c>
      <c r="C46" s="18">
        <v>15</v>
      </c>
      <c r="D46" s="18">
        <v>49133</v>
      </c>
      <c r="E46" s="18">
        <f t="shared" si="14"/>
        <v>589596</v>
      </c>
      <c r="F46" s="18">
        <v>30100</v>
      </c>
      <c r="G46" s="18">
        <f t="shared" si="15"/>
        <v>361200</v>
      </c>
      <c r="H46" s="18">
        <v>6</v>
      </c>
      <c r="I46" s="18">
        <v>6</v>
      </c>
      <c r="J46" s="18">
        <v>18447</v>
      </c>
      <c r="K46" s="18">
        <f t="shared" si="16"/>
        <v>221364</v>
      </c>
      <c r="L46" s="18">
        <v>11706</v>
      </c>
      <c r="M46" s="18">
        <f t="shared" si="17"/>
        <v>140472</v>
      </c>
      <c r="N46" s="18">
        <f t="shared" si="18"/>
        <v>159989</v>
      </c>
      <c r="O46" s="18">
        <f t="shared" si="19"/>
        <v>79994</v>
      </c>
      <c r="P46" s="18">
        <f t="shared" si="20"/>
        <v>40548</v>
      </c>
      <c r="Q46" s="18">
        <f t="shared" si="21"/>
        <v>4754</v>
      </c>
      <c r="R46" s="18">
        <f t="shared" si="22"/>
        <v>76064</v>
      </c>
      <c r="S46" s="18"/>
      <c r="T46" s="18">
        <f t="shared" si="23"/>
        <v>9508</v>
      </c>
      <c r="U46" s="18">
        <f t="shared" si="24"/>
        <v>114096</v>
      </c>
      <c r="V46" s="18">
        <f t="shared" si="25"/>
        <v>1575</v>
      </c>
      <c r="W46" s="30">
        <f t="shared" si="26"/>
        <v>16219</v>
      </c>
    </row>
    <row r="47" spans="1:23" ht="21" customHeight="1">
      <c r="A47" s="15" t="s">
        <v>490</v>
      </c>
      <c r="B47" s="18">
        <v>2</v>
      </c>
      <c r="C47" s="18">
        <v>2</v>
      </c>
      <c r="D47" s="18">
        <v>6006</v>
      </c>
      <c r="E47" s="18">
        <f t="shared" si="14"/>
        <v>72072</v>
      </c>
      <c r="F47" s="18">
        <v>3920</v>
      </c>
      <c r="G47" s="18">
        <f t="shared" si="15"/>
        <v>47040</v>
      </c>
      <c r="H47" s="18"/>
      <c r="I47" s="18"/>
      <c r="J47" s="18"/>
      <c r="K47" s="18">
        <f t="shared" si="16"/>
        <v>0</v>
      </c>
      <c r="L47" s="18"/>
      <c r="M47" s="18">
        <f t="shared" si="17"/>
        <v>0</v>
      </c>
      <c r="N47" s="18">
        <f t="shared" si="18"/>
        <v>20019</v>
      </c>
      <c r="O47" s="18">
        <f t="shared" si="19"/>
        <v>10009</v>
      </c>
      <c r="P47" s="18">
        <f t="shared" si="20"/>
        <v>3604</v>
      </c>
      <c r="Q47" s="18">
        <f t="shared" si="21"/>
        <v>596</v>
      </c>
      <c r="R47" s="18">
        <f t="shared" si="22"/>
        <v>9529</v>
      </c>
      <c r="S47" s="18"/>
      <c r="T47" s="18">
        <f t="shared" si="23"/>
        <v>1191</v>
      </c>
      <c r="U47" s="18">
        <f t="shared" si="24"/>
        <v>14293</v>
      </c>
      <c r="V47" s="18">
        <f t="shared" si="25"/>
        <v>150</v>
      </c>
      <c r="W47" s="30">
        <f t="shared" si="26"/>
        <v>1441</v>
      </c>
    </row>
    <row r="48" spans="1:23" ht="21" customHeight="1">
      <c r="A48" s="15" t="s">
        <v>491</v>
      </c>
      <c r="B48" s="18">
        <v>5</v>
      </c>
      <c r="C48" s="18">
        <v>3</v>
      </c>
      <c r="D48" s="18">
        <v>8341</v>
      </c>
      <c r="E48" s="18">
        <f t="shared" si="14"/>
        <v>100092</v>
      </c>
      <c r="F48" s="18">
        <v>5625</v>
      </c>
      <c r="G48" s="18">
        <f t="shared" si="15"/>
        <v>67500</v>
      </c>
      <c r="H48" s="18">
        <v>1</v>
      </c>
      <c r="I48" s="18">
        <v>1</v>
      </c>
      <c r="J48" s="18">
        <v>2082</v>
      </c>
      <c r="K48" s="18">
        <f t="shared" si="16"/>
        <v>24984</v>
      </c>
      <c r="L48" s="18">
        <v>1871</v>
      </c>
      <c r="M48" s="18">
        <f t="shared" si="17"/>
        <v>22452</v>
      </c>
      <c r="N48" s="18">
        <f t="shared" si="18"/>
        <v>28149</v>
      </c>
      <c r="O48" s="18">
        <f t="shared" si="19"/>
        <v>14075</v>
      </c>
      <c r="P48" s="18">
        <f t="shared" si="20"/>
        <v>6254</v>
      </c>
      <c r="Q48" s="18">
        <f t="shared" si="21"/>
        <v>838</v>
      </c>
      <c r="R48" s="18">
        <f t="shared" si="22"/>
        <v>13407</v>
      </c>
      <c r="S48" s="18"/>
      <c r="T48" s="18">
        <f t="shared" si="23"/>
        <v>1676</v>
      </c>
      <c r="U48" s="18">
        <f t="shared" si="24"/>
        <v>20111</v>
      </c>
      <c r="V48" s="18">
        <f t="shared" si="25"/>
        <v>300</v>
      </c>
      <c r="W48" s="30">
        <f t="shared" si="26"/>
        <v>2502</v>
      </c>
    </row>
    <row r="49" spans="1:23" ht="21" customHeight="1">
      <c r="A49" s="15" t="s">
        <v>492</v>
      </c>
      <c r="B49" s="18">
        <v>5</v>
      </c>
      <c r="C49" s="18">
        <v>10</v>
      </c>
      <c r="D49" s="18">
        <v>37229</v>
      </c>
      <c r="E49" s="18">
        <f t="shared" si="14"/>
        <v>446748</v>
      </c>
      <c r="F49" s="18">
        <v>21280</v>
      </c>
      <c r="G49" s="18">
        <f t="shared" si="15"/>
        <v>255360</v>
      </c>
      <c r="H49" s="18"/>
      <c r="I49" s="18"/>
      <c r="J49" s="18"/>
      <c r="K49" s="18">
        <f t="shared" si="16"/>
        <v>0</v>
      </c>
      <c r="L49" s="18"/>
      <c r="M49" s="18">
        <f t="shared" si="17"/>
        <v>0</v>
      </c>
      <c r="N49" s="18">
        <f t="shared" si="18"/>
        <v>118294</v>
      </c>
      <c r="O49" s="18">
        <f t="shared" si="19"/>
        <v>59147</v>
      </c>
      <c r="P49" s="18">
        <f t="shared" si="20"/>
        <v>22337</v>
      </c>
      <c r="Q49" s="18">
        <f t="shared" si="21"/>
        <v>3511</v>
      </c>
      <c r="R49" s="18">
        <f t="shared" si="22"/>
        <v>56169</v>
      </c>
      <c r="S49" s="18"/>
      <c r="T49" s="18">
        <f t="shared" si="23"/>
        <v>7021</v>
      </c>
      <c r="U49" s="18">
        <f t="shared" si="24"/>
        <v>84253</v>
      </c>
      <c r="V49" s="18">
        <f t="shared" si="25"/>
        <v>750</v>
      </c>
      <c r="W49" s="30">
        <f t="shared" si="26"/>
        <v>8935</v>
      </c>
    </row>
    <row r="50" spans="1:23" ht="21" customHeight="1">
      <c r="A50" s="15" t="s">
        <v>493</v>
      </c>
      <c r="B50" s="18">
        <v>6</v>
      </c>
      <c r="C50" s="18">
        <v>8</v>
      </c>
      <c r="D50" s="18">
        <v>26203</v>
      </c>
      <c r="E50" s="18">
        <f t="shared" si="14"/>
        <v>314436</v>
      </c>
      <c r="F50" s="18">
        <v>15135</v>
      </c>
      <c r="G50" s="18">
        <f t="shared" si="15"/>
        <v>181620</v>
      </c>
      <c r="H50" s="18">
        <v>2</v>
      </c>
      <c r="I50" s="18">
        <v>2</v>
      </c>
      <c r="J50" s="18">
        <v>3952</v>
      </c>
      <c r="K50" s="18">
        <f t="shared" si="16"/>
        <v>47424</v>
      </c>
      <c r="L50" s="18">
        <v>3507</v>
      </c>
      <c r="M50" s="18">
        <f t="shared" si="17"/>
        <v>42084</v>
      </c>
      <c r="N50" s="18">
        <f t="shared" si="18"/>
        <v>83561</v>
      </c>
      <c r="O50" s="18">
        <f t="shared" si="19"/>
        <v>41781</v>
      </c>
      <c r="P50" s="18">
        <f t="shared" si="20"/>
        <v>18093</v>
      </c>
      <c r="Q50" s="18">
        <f t="shared" si="21"/>
        <v>2480</v>
      </c>
      <c r="R50" s="18">
        <f t="shared" si="22"/>
        <v>39684</v>
      </c>
      <c r="S50" s="18"/>
      <c r="T50" s="18">
        <f t="shared" si="23"/>
        <v>4961</v>
      </c>
      <c r="U50" s="18">
        <f t="shared" si="24"/>
        <v>59527</v>
      </c>
      <c r="V50" s="18">
        <f t="shared" si="25"/>
        <v>750</v>
      </c>
      <c r="W50" s="30">
        <f t="shared" si="26"/>
        <v>7237</v>
      </c>
    </row>
    <row r="51" spans="1:23" ht="21" customHeight="1">
      <c r="A51" s="15" t="s">
        <v>494</v>
      </c>
      <c r="B51" s="18">
        <v>3</v>
      </c>
      <c r="C51" s="18">
        <v>1</v>
      </c>
      <c r="D51" s="18">
        <v>2603</v>
      </c>
      <c r="E51" s="18">
        <f t="shared" si="14"/>
        <v>31236</v>
      </c>
      <c r="F51" s="18">
        <v>1845</v>
      </c>
      <c r="G51" s="18">
        <f t="shared" si="15"/>
        <v>22140</v>
      </c>
      <c r="H51" s="18">
        <v>4</v>
      </c>
      <c r="I51" s="18">
        <v>2</v>
      </c>
      <c r="J51" s="18">
        <v>3709</v>
      </c>
      <c r="K51" s="18">
        <f t="shared" si="16"/>
        <v>44508</v>
      </c>
      <c r="L51" s="18">
        <v>3742</v>
      </c>
      <c r="M51" s="18">
        <f t="shared" si="17"/>
        <v>44904</v>
      </c>
      <c r="N51" s="18">
        <f t="shared" si="18"/>
        <v>8957</v>
      </c>
      <c r="O51" s="18">
        <f t="shared" si="19"/>
        <v>4478</v>
      </c>
      <c r="P51" s="18">
        <f t="shared" si="20"/>
        <v>3787</v>
      </c>
      <c r="Q51" s="18">
        <f t="shared" si="21"/>
        <v>267</v>
      </c>
      <c r="R51" s="18">
        <f t="shared" si="22"/>
        <v>4270</v>
      </c>
      <c r="S51" s="18"/>
      <c r="T51" s="18">
        <f t="shared" si="23"/>
        <v>534</v>
      </c>
      <c r="U51" s="18">
        <f t="shared" si="24"/>
        <v>6405</v>
      </c>
      <c r="V51" s="18">
        <f t="shared" si="25"/>
        <v>225</v>
      </c>
      <c r="W51" s="30">
        <f t="shared" si="26"/>
        <v>1515</v>
      </c>
    </row>
    <row r="52" spans="1:23" ht="21" customHeight="1">
      <c r="A52" s="15" t="s">
        <v>495</v>
      </c>
      <c r="B52" s="18">
        <v>11</v>
      </c>
      <c r="C52" s="18">
        <v>8</v>
      </c>
      <c r="D52" s="18">
        <v>22344</v>
      </c>
      <c r="E52" s="18">
        <f t="shared" si="14"/>
        <v>268128</v>
      </c>
      <c r="F52" s="18">
        <v>14850</v>
      </c>
      <c r="G52" s="18">
        <f t="shared" si="15"/>
        <v>178200</v>
      </c>
      <c r="H52" s="18">
        <v>1</v>
      </c>
      <c r="I52" s="18"/>
      <c r="J52" s="18"/>
      <c r="K52" s="18">
        <f t="shared" si="16"/>
        <v>0</v>
      </c>
      <c r="L52" s="18"/>
      <c r="M52" s="18">
        <f t="shared" si="17"/>
        <v>0</v>
      </c>
      <c r="N52" s="18">
        <f t="shared" si="18"/>
        <v>74988</v>
      </c>
      <c r="O52" s="18">
        <f t="shared" si="19"/>
        <v>37494</v>
      </c>
      <c r="P52" s="18">
        <f t="shared" si="20"/>
        <v>13406</v>
      </c>
      <c r="Q52" s="18">
        <f t="shared" si="21"/>
        <v>2232</v>
      </c>
      <c r="R52" s="18">
        <f t="shared" si="22"/>
        <v>35706</v>
      </c>
      <c r="S52" s="18"/>
      <c r="T52" s="18">
        <f t="shared" si="23"/>
        <v>4463</v>
      </c>
      <c r="U52" s="18">
        <f t="shared" si="24"/>
        <v>53559</v>
      </c>
      <c r="V52" s="18">
        <f t="shared" si="25"/>
        <v>600</v>
      </c>
      <c r="W52" s="30">
        <f t="shared" si="26"/>
        <v>5363</v>
      </c>
    </row>
    <row r="53" spans="1:23" ht="21" customHeight="1">
      <c r="A53" s="15" t="s">
        <v>496</v>
      </c>
      <c r="B53" s="18">
        <v>4</v>
      </c>
      <c r="C53" s="18">
        <v>3</v>
      </c>
      <c r="D53" s="18">
        <v>12079</v>
      </c>
      <c r="E53" s="18">
        <f t="shared" si="14"/>
        <v>144948</v>
      </c>
      <c r="F53" s="18">
        <v>6450</v>
      </c>
      <c r="G53" s="18">
        <f t="shared" si="15"/>
        <v>77400</v>
      </c>
      <c r="H53" s="18"/>
      <c r="I53" s="18"/>
      <c r="J53" s="18"/>
      <c r="K53" s="18">
        <f t="shared" si="16"/>
        <v>0</v>
      </c>
      <c r="L53" s="18"/>
      <c r="M53" s="18">
        <f t="shared" si="17"/>
        <v>0</v>
      </c>
      <c r="N53" s="18">
        <f t="shared" si="18"/>
        <v>37508</v>
      </c>
      <c r="O53" s="18">
        <f t="shared" si="19"/>
        <v>18754</v>
      </c>
      <c r="P53" s="18">
        <f t="shared" si="20"/>
        <v>7247</v>
      </c>
      <c r="Q53" s="18">
        <f t="shared" si="21"/>
        <v>1112</v>
      </c>
      <c r="R53" s="18">
        <f t="shared" si="22"/>
        <v>17788</v>
      </c>
      <c r="S53" s="18"/>
      <c r="T53" s="18">
        <f t="shared" si="23"/>
        <v>2223</v>
      </c>
      <c r="U53" s="18">
        <f t="shared" si="24"/>
        <v>26682</v>
      </c>
      <c r="V53" s="18">
        <f t="shared" si="25"/>
        <v>225</v>
      </c>
      <c r="W53" s="30">
        <f t="shared" si="26"/>
        <v>2899</v>
      </c>
    </row>
    <row r="54" spans="1:23" ht="21" customHeight="1">
      <c r="A54" s="15" t="s">
        <v>497</v>
      </c>
      <c r="B54" s="18">
        <v>7</v>
      </c>
      <c r="C54" s="18"/>
      <c r="D54" s="18"/>
      <c r="E54" s="18">
        <f t="shared" si="14"/>
        <v>0</v>
      </c>
      <c r="F54" s="18"/>
      <c r="G54" s="18">
        <f t="shared" si="15"/>
        <v>0</v>
      </c>
      <c r="H54" s="18"/>
      <c r="I54" s="18"/>
      <c r="J54" s="18"/>
      <c r="K54" s="18">
        <f t="shared" si="16"/>
        <v>0</v>
      </c>
      <c r="L54" s="18"/>
      <c r="M54" s="18">
        <f t="shared" si="17"/>
        <v>0</v>
      </c>
      <c r="N54" s="18">
        <f t="shared" si="18"/>
        <v>0</v>
      </c>
      <c r="O54" s="18">
        <f t="shared" si="19"/>
        <v>0</v>
      </c>
      <c r="P54" s="18">
        <f t="shared" si="20"/>
        <v>0</v>
      </c>
      <c r="Q54" s="18">
        <f t="shared" si="21"/>
        <v>0</v>
      </c>
      <c r="R54" s="18">
        <f t="shared" si="22"/>
        <v>0</v>
      </c>
      <c r="S54" s="18"/>
      <c r="T54" s="18">
        <f t="shared" si="23"/>
        <v>0</v>
      </c>
      <c r="U54" s="18">
        <f t="shared" si="24"/>
        <v>0</v>
      </c>
      <c r="V54" s="18">
        <f t="shared" si="25"/>
        <v>0</v>
      </c>
      <c r="W54" s="30">
        <f t="shared" si="26"/>
        <v>0</v>
      </c>
    </row>
    <row r="55" spans="1:23" ht="21" customHeight="1">
      <c r="A55" s="25" t="s">
        <v>498</v>
      </c>
      <c r="B55" s="20">
        <f t="shared" ref="B55:W55" si="28">SUM(B40:B54)</f>
        <v>107</v>
      </c>
      <c r="C55" s="20">
        <f t="shared" si="28"/>
        <v>105</v>
      </c>
      <c r="D55" s="20">
        <f t="shared" si="28"/>
        <v>355969</v>
      </c>
      <c r="E55" s="20">
        <f t="shared" si="28"/>
        <v>4271628</v>
      </c>
      <c r="F55" s="20">
        <f t="shared" si="28"/>
        <v>211340</v>
      </c>
      <c r="G55" s="20">
        <f t="shared" si="28"/>
        <v>2536080</v>
      </c>
      <c r="H55" s="20">
        <f t="shared" si="28"/>
        <v>74</v>
      </c>
      <c r="I55" s="20">
        <f t="shared" si="28"/>
        <v>74</v>
      </c>
      <c r="J55" s="20">
        <f t="shared" si="28"/>
        <v>192870</v>
      </c>
      <c r="K55" s="20">
        <f t="shared" si="28"/>
        <v>2314440</v>
      </c>
      <c r="L55" s="20">
        <f t="shared" si="28"/>
        <v>132244</v>
      </c>
      <c r="M55" s="20">
        <f t="shared" si="28"/>
        <v>1586928</v>
      </c>
      <c r="N55" s="20">
        <f t="shared" si="28"/>
        <v>1146189</v>
      </c>
      <c r="O55" s="20">
        <f t="shared" si="28"/>
        <v>573093</v>
      </c>
      <c r="P55" s="20">
        <f t="shared" si="28"/>
        <v>329302</v>
      </c>
      <c r="Q55" s="20">
        <f t="shared" si="28"/>
        <v>34041</v>
      </c>
      <c r="R55" s="20">
        <f t="shared" si="28"/>
        <v>544616</v>
      </c>
      <c r="S55" s="20">
        <f t="shared" si="28"/>
        <v>0</v>
      </c>
      <c r="T55" s="20">
        <f t="shared" si="28"/>
        <v>68076</v>
      </c>
      <c r="U55" s="20">
        <f t="shared" si="28"/>
        <v>816925</v>
      </c>
      <c r="V55" s="20">
        <f t="shared" si="28"/>
        <v>13425</v>
      </c>
      <c r="W55" s="20">
        <f t="shared" si="28"/>
        <v>131721</v>
      </c>
    </row>
    <row r="56" spans="1:23" ht="21" customHeight="1">
      <c r="A56" s="15" t="s">
        <v>499</v>
      </c>
      <c r="B56" s="18">
        <v>206</v>
      </c>
      <c r="C56" s="18">
        <v>201</v>
      </c>
      <c r="D56" s="18">
        <v>609889</v>
      </c>
      <c r="E56" s="18">
        <f t="shared" ref="E56:E63" si="29">D56*12</f>
        <v>7318668</v>
      </c>
      <c r="F56" s="18">
        <v>388151</v>
      </c>
      <c r="G56" s="18">
        <f t="shared" ref="G56:G63" si="30">F56*12</f>
        <v>4657812</v>
      </c>
      <c r="H56" s="18">
        <v>167</v>
      </c>
      <c r="I56" s="18">
        <v>169</v>
      </c>
      <c r="J56" s="30">
        <v>360905</v>
      </c>
      <c r="K56" s="30">
        <f t="shared" ref="K56:K63" si="31">J56*12</f>
        <v>4330860</v>
      </c>
      <c r="L56" s="30">
        <v>291167</v>
      </c>
      <c r="M56" s="30">
        <f t="shared" ref="M56:M63" si="32">L56*12</f>
        <v>3494004</v>
      </c>
      <c r="N56" s="18">
        <f t="shared" ref="N56:N63" si="33">ROUND((E56+G56)*0.16+D56*0.16,0)</f>
        <v>2013819</v>
      </c>
      <c r="O56" s="18">
        <f t="shared" ref="O56:O63" si="34">ROUND((E56+G56)*0.08+D56*0.08,0)</f>
        <v>1006910</v>
      </c>
      <c r="P56" s="18">
        <f t="shared" ref="P56:P63" si="35">ROUND((E56+K56)*0.05,0)</f>
        <v>582476</v>
      </c>
      <c r="Q56" s="18">
        <f t="shared" ref="Q56:Q63" si="36">ROUND((E56+G56)*0.005,0)</f>
        <v>59882</v>
      </c>
      <c r="R56" s="18">
        <f t="shared" ref="R56:R63" si="37">ROUND((E56+G56)*0.08,0)</f>
        <v>958118</v>
      </c>
      <c r="S56" s="18"/>
      <c r="T56" s="18">
        <f t="shared" ref="T56:T63" si="38">ROUND((E56+G56)*0.01,0)</f>
        <v>119765</v>
      </c>
      <c r="U56" s="18">
        <f t="shared" ref="U56:U63" si="39">ROUND((E56+G56)*0.12,0)</f>
        <v>1437178</v>
      </c>
      <c r="V56" s="18">
        <f t="shared" ref="V56:V63" si="40">ROUND((C56+I56)*75,0)</f>
        <v>27750</v>
      </c>
      <c r="W56" s="30">
        <f t="shared" ref="W56:W63" si="41">ROUND((E56+K56)*0.02,0)</f>
        <v>232991</v>
      </c>
    </row>
    <row r="57" spans="1:23" ht="21" customHeight="1">
      <c r="A57" s="15" t="s">
        <v>500</v>
      </c>
      <c r="B57" s="18">
        <v>11</v>
      </c>
      <c r="C57" s="18">
        <v>11</v>
      </c>
      <c r="D57" s="18">
        <v>37371</v>
      </c>
      <c r="E57" s="18">
        <f t="shared" si="29"/>
        <v>448452</v>
      </c>
      <c r="F57" s="18">
        <v>22780</v>
      </c>
      <c r="G57" s="18">
        <f t="shared" si="30"/>
        <v>273360</v>
      </c>
      <c r="H57" s="18">
        <v>10</v>
      </c>
      <c r="I57" s="18">
        <v>10</v>
      </c>
      <c r="J57" s="30">
        <v>25328</v>
      </c>
      <c r="K57" s="30">
        <f t="shared" si="31"/>
        <v>303936</v>
      </c>
      <c r="L57" s="30">
        <v>19014</v>
      </c>
      <c r="M57" s="30">
        <f t="shared" si="32"/>
        <v>228168</v>
      </c>
      <c r="N57" s="18">
        <f t="shared" si="33"/>
        <v>121469</v>
      </c>
      <c r="O57" s="18">
        <f t="shared" si="34"/>
        <v>60735</v>
      </c>
      <c r="P57" s="18">
        <f t="shared" si="35"/>
        <v>37619</v>
      </c>
      <c r="Q57" s="18">
        <f t="shared" si="36"/>
        <v>3609</v>
      </c>
      <c r="R57" s="18">
        <f t="shared" si="37"/>
        <v>57745</v>
      </c>
      <c r="S57" s="18"/>
      <c r="T57" s="18">
        <f t="shared" si="38"/>
        <v>7218</v>
      </c>
      <c r="U57" s="18">
        <f t="shared" si="39"/>
        <v>86617</v>
      </c>
      <c r="V57" s="18">
        <f t="shared" si="40"/>
        <v>1575</v>
      </c>
      <c r="W57" s="30">
        <f t="shared" si="41"/>
        <v>15048</v>
      </c>
    </row>
    <row r="58" spans="1:23" ht="21" customHeight="1">
      <c r="A58" s="15" t="s">
        <v>501</v>
      </c>
      <c r="B58" s="18">
        <v>11</v>
      </c>
      <c r="C58" s="18">
        <v>12</v>
      </c>
      <c r="D58" s="18">
        <v>42154</v>
      </c>
      <c r="E58" s="18">
        <f t="shared" si="29"/>
        <v>505848</v>
      </c>
      <c r="F58" s="18">
        <v>24990</v>
      </c>
      <c r="G58" s="18">
        <f t="shared" si="30"/>
        <v>299880</v>
      </c>
      <c r="H58" s="18">
        <v>9</v>
      </c>
      <c r="I58" s="18">
        <v>9</v>
      </c>
      <c r="J58" s="30">
        <v>23854</v>
      </c>
      <c r="K58" s="30">
        <f t="shared" si="31"/>
        <v>286248</v>
      </c>
      <c r="L58" s="30">
        <v>17197</v>
      </c>
      <c r="M58" s="30">
        <f t="shared" si="32"/>
        <v>206364</v>
      </c>
      <c r="N58" s="18">
        <f t="shared" si="33"/>
        <v>135661</v>
      </c>
      <c r="O58" s="18">
        <f t="shared" si="34"/>
        <v>67831</v>
      </c>
      <c r="P58" s="18">
        <f t="shared" si="35"/>
        <v>39605</v>
      </c>
      <c r="Q58" s="18">
        <f t="shared" si="36"/>
        <v>4029</v>
      </c>
      <c r="R58" s="18">
        <f t="shared" si="37"/>
        <v>64458</v>
      </c>
      <c r="S58" s="18"/>
      <c r="T58" s="18">
        <f t="shared" si="38"/>
        <v>8057</v>
      </c>
      <c r="U58" s="18">
        <f t="shared" si="39"/>
        <v>96687</v>
      </c>
      <c r="V58" s="18">
        <f t="shared" si="40"/>
        <v>1575</v>
      </c>
      <c r="W58" s="30">
        <f t="shared" si="41"/>
        <v>15842</v>
      </c>
    </row>
    <row r="59" spans="1:23" ht="21" customHeight="1">
      <c r="A59" s="15" t="s">
        <v>502</v>
      </c>
      <c r="B59" s="18">
        <v>5</v>
      </c>
      <c r="C59" s="18">
        <v>4</v>
      </c>
      <c r="D59" s="18">
        <v>16509</v>
      </c>
      <c r="E59" s="18">
        <f t="shared" si="29"/>
        <v>198108</v>
      </c>
      <c r="F59" s="18">
        <v>8770</v>
      </c>
      <c r="G59" s="18">
        <f t="shared" si="30"/>
        <v>105240</v>
      </c>
      <c r="H59" s="18">
        <v>10</v>
      </c>
      <c r="I59" s="18">
        <v>12</v>
      </c>
      <c r="J59" s="30">
        <v>28878</v>
      </c>
      <c r="K59" s="30">
        <f t="shared" si="31"/>
        <v>346536</v>
      </c>
      <c r="L59" s="30">
        <v>21583</v>
      </c>
      <c r="M59" s="30">
        <f t="shared" si="32"/>
        <v>258996</v>
      </c>
      <c r="N59" s="18">
        <f t="shared" si="33"/>
        <v>51177</v>
      </c>
      <c r="O59" s="18">
        <f t="shared" si="34"/>
        <v>25589</v>
      </c>
      <c r="P59" s="18">
        <f t="shared" si="35"/>
        <v>27232</v>
      </c>
      <c r="Q59" s="18">
        <f t="shared" si="36"/>
        <v>1517</v>
      </c>
      <c r="R59" s="18">
        <f t="shared" si="37"/>
        <v>24268</v>
      </c>
      <c r="S59" s="18"/>
      <c r="T59" s="18">
        <f t="shared" si="38"/>
        <v>3033</v>
      </c>
      <c r="U59" s="18">
        <f t="shared" si="39"/>
        <v>36402</v>
      </c>
      <c r="V59" s="18">
        <f t="shared" si="40"/>
        <v>1200</v>
      </c>
      <c r="W59" s="30">
        <f t="shared" si="41"/>
        <v>10893</v>
      </c>
    </row>
    <row r="60" spans="1:23" ht="21" customHeight="1">
      <c r="A60" s="15" t="s">
        <v>503</v>
      </c>
      <c r="B60" s="18">
        <v>15</v>
      </c>
      <c r="C60" s="18">
        <v>17</v>
      </c>
      <c r="D60" s="18">
        <v>62812</v>
      </c>
      <c r="E60" s="18">
        <f t="shared" si="29"/>
        <v>753744</v>
      </c>
      <c r="F60" s="18">
        <v>35635</v>
      </c>
      <c r="G60" s="18">
        <f t="shared" si="30"/>
        <v>427620</v>
      </c>
      <c r="H60" s="18">
        <v>10</v>
      </c>
      <c r="I60" s="18">
        <v>10</v>
      </c>
      <c r="J60" s="30">
        <v>23159</v>
      </c>
      <c r="K60" s="30">
        <f t="shared" si="31"/>
        <v>277908</v>
      </c>
      <c r="L60" s="30">
        <v>17956</v>
      </c>
      <c r="M60" s="30">
        <f t="shared" si="32"/>
        <v>215472</v>
      </c>
      <c r="N60" s="18">
        <f t="shared" si="33"/>
        <v>199068</v>
      </c>
      <c r="O60" s="18">
        <f t="shared" si="34"/>
        <v>99534</v>
      </c>
      <c r="P60" s="18">
        <f t="shared" si="35"/>
        <v>51583</v>
      </c>
      <c r="Q60" s="18">
        <f t="shared" si="36"/>
        <v>5907</v>
      </c>
      <c r="R60" s="18">
        <f t="shared" si="37"/>
        <v>94509</v>
      </c>
      <c r="S60" s="18"/>
      <c r="T60" s="18">
        <f t="shared" si="38"/>
        <v>11814</v>
      </c>
      <c r="U60" s="18">
        <f t="shared" si="39"/>
        <v>141764</v>
      </c>
      <c r="V60" s="18">
        <f t="shared" si="40"/>
        <v>2025</v>
      </c>
      <c r="W60" s="30">
        <f t="shared" si="41"/>
        <v>20633</v>
      </c>
    </row>
    <row r="61" spans="1:23" ht="21" customHeight="1">
      <c r="A61" s="15" t="s">
        <v>504</v>
      </c>
      <c r="B61" s="18">
        <v>10</v>
      </c>
      <c r="C61" s="18">
        <v>9</v>
      </c>
      <c r="D61" s="18">
        <v>29339</v>
      </c>
      <c r="E61" s="18">
        <f t="shared" si="29"/>
        <v>352068</v>
      </c>
      <c r="F61" s="18">
        <v>18350</v>
      </c>
      <c r="G61" s="18">
        <f t="shared" si="30"/>
        <v>220200</v>
      </c>
      <c r="H61" s="18">
        <v>5</v>
      </c>
      <c r="I61" s="18">
        <v>6</v>
      </c>
      <c r="J61" s="30">
        <v>15217</v>
      </c>
      <c r="K61" s="30">
        <f t="shared" si="31"/>
        <v>182604</v>
      </c>
      <c r="L61" s="30">
        <v>11525</v>
      </c>
      <c r="M61" s="30">
        <f t="shared" si="32"/>
        <v>138300</v>
      </c>
      <c r="N61" s="18">
        <f t="shared" si="33"/>
        <v>96257</v>
      </c>
      <c r="O61" s="18">
        <f t="shared" si="34"/>
        <v>48129</v>
      </c>
      <c r="P61" s="18">
        <f t="shared" si="35"/>
        <v>26734</v>
      </c>
      <c r="Q61" s="18">
        <f t="shared" si="36"/>
        <v>2861</v>
      </c>
      <c r="R61" s="18">
        <f t="shared" si="37"/>
        <v>45781</v>
      </c>
      <c r="S61" s="18"/>
      <c r="T61" s="18">
        <f t="shared" si="38"/>
        <v>5723</v>
      </c>
      <c r="U61" s="18">
        <f t="shared" si="39"/>
        <v>68672</v>
      </c>
      <c r="V61" s="18">
        <f t="shared" si="40"/>
        <v>1125</v>
      </c>
      <c r="W61" s="30">
        <f t="shared" si="41"/>
        <v>10693</v>
      </c>
    </row>
    <row r="62" spans="1:23" ht="21" customHeight="1">
      <c r="A62" s="15" t="s">
        <v>505</v>
      </c>
      <c r="B62" s="18">
        <v>5</v>
      </c>
      <c r="C62" s="18">
        <v>5</v>
      </c>
      <c r="D62" s="18">
        <v>14836</v>
      </c>
      <c r="E62" s="18">
        <f t="shared" si="29"/>
        <v>178032</v>
      </c>
      <c r="F62" s="18">
        <v>9963</v>
      </c>
      <c r="G62" s="18">
        <f t="shared" si="30"/>
        <v>119556</v>
      </c>
      <c r="H62" s="18"/>
      <c r="I62" s="18"/>
      <c r="J62" s="30"/>
      <c r="K62" s="30">
        <f t="shared" si="31"/>
        <v>0</v>
      </c>
      <c r="L62" s="30"/>
      <c r="M62" s="30">
        <f t="shared" si="32"/>
        <v>0</v>
      </c>
      <c r="N62" s="18">
        <f t="shared" si="33"/>
        <v>49988</v>
      </c>
      <c r="O62" s="18">
        <f t="shared" si="34"/>
        <v>24994</v>
      </c>
      <c r="P62" s="18">
        <f t="shared" si="35"/>
        <v>8902</v>
      </c>
      <c r="Q62" s="18">
        <f t="shared" si="36"/>
        <v>1488</v>
      </c>
      <c r="R62" s="18">
        <f t="shared" si="37"/>
        <v>23807</v>
      </c>
      <c r="S62" s="18"/>
      <c r="T62" s="18">
        <f t="shared" si="38"/>
        <v>2976</v>
      </c>
      <c r="U62" s="18">
        <f t="shared" si="39"/>
        <v>35711</v>
      </c>
      <c r="V62" s="18">
        <f t="shared" si="40"/>
        <v>375</v>
      </c>
      <c r="W62" s="30">
        <f t="shared" si="41"/>
        <v>3561</v>
      </c>
    </row>
    <row r="63" spans="1:23" s="1" customFormat="1" ht="21" customHeight="1">
      <c r="A63" s="15" t="s">
        <v>507</v>
      </c>
      <c r="B63" s="18">
        <v>10</v>
      </c>
      <c r="C63" s="18">
        <v>9</v>
      </c>
      <c r="D63" s="18">
        <v>29096</v>
      </c>
      <c r="E63" s="18">
        <f t="shared" si="29"/>
        <v>349152</v>
      </c>
      <c r="F63" s="18">
        <v>18320</v>
      </c>
      <c r="G63" s="18">
        <f t="shared" si="30"/>
        <v>219840</v>
      </c>
      <c r="H63" s="18">
        <v>4</v>
      </c>
      <c r="I63" s="18">
        <v>4</v>
      </c>
      <c r="J63" s="30">
        <v>10699</v>
      </c>
      <c r="K63" s="30">
        <f t="shared" si="31"/>
        <v>128388</v>
      </c>
      <c r="L63" s="30">
        <v>7442</v>
      </c>
      <c r="M63" s="30">
        <f t="shared" si="32"/>
        <v>89304</v>
      </c>
      <c r="N63" s="18">
        <f t="shared" si="33"/>
        <v>95694</v>
      </c>
      <c r="O63" s="18">
        <f t="shared" si="34"/>
        <v>47847</v>
      </c>
      <c r="P63" s="18">
        <f t="shared" si="35"/>
        <v>23877</v>
      </c>
      <c r="Q63" s="18">
        <f t="shared" si="36"/>
        <v>2845</v>
      </c>
      <c r="R63" s="18">
        <f t="shared" si="37"/>
        <v>45519</v>
      </c>
      <c r="S63" s="18"/>
      <c r="T63" s="18">
        <f t="shared" si="38"/>
        <v>5690</v>
      </c>
      <c r="U63" s="18">
        <f t="shared" si="39"/>
        <v>68279</v>
      </c>
      <c r="V63" s="18">
        <f t="shared" si="40"/>
        <v>975</v>
      </c>
      <c r="W63" s="30">
        <f t="shared" si="41"/>
        <v>9551</v>
      </c>
    </row>
    <row r="64" spans="1:23" ht="21" customHeight="1">
      <c r="A64" s="25" t="s">
        <v>508</v>
      </c>
      <c r="B64" s="27">
        <f t="shared" ref="B64:W64" si="42">SUM(B56:B63)</f>
        <v>273</v>
      </c>
      <c r="C64" s="27">
        <f t="shared" si="42"/>
        <v>268</v>
      </c>
      <c r="D64" s="27">
        <f t="shared" si="42"/>
        <v>842006</v>
      </c>
      <c r="E64" s="27">
        <f t="shared" si="42"/>
        <v>10104072</v>
      </c>
      <c r="F64" s="27">
        <f t="shared" si="42"/>
        <v>526959</v>
      </c>
      <c r="G64" s="27">
        <f t="shared" si="42"/>
        <v>6323508</v>
      </c>
      <c r="H64" s="27">
        <f t="shared" si="42"/>
        <v>215</v>
      </c>
      <c r="I64" s="27">
        <f t="shared" si="42"/>
        <v>220</v>
      </c>
      <c r="J64" s="27">
        <f t="shared" si="42"/>
        <v>488040</v>
      </c>
      <c r="K64" s="27">
        <f t="shared" si="42"/>
        <v>5856480</v>
      </c>
      <c r="L64" s="27">
        <f t="shared" si="42"/>
        <v>385884</v>
      </c>
      <c r="M64" s="27">
        <f t="shared" si="42"/>
        <v>4630608</v>
      </c>
      <c r="N64" s="27">
        <f t="shared" si="42"/>
        <v>2763133</v>
      </c>
      <c r="O64" s="27">
        <f t="shared" si="42"/>
        <v>1381569</v>
      </c>
      <c r="P64" s="27">
        <f t="shared" si="42"/>
        <v>798028</v>
      </c>
      <c r="Q64" s="27">
        <f t="shared" si="42"/>
        <v>82138</v>
      </c>
      <c r="R64" s="27">
        <f t="shared" si="42"/>
        <v>1314205</v>
      </c>
      <c r="S64" s="27">
        <f t="shared" si="42"/>
        <v>0</v>
      </c>
      <c r="T64" s="27">
        <f t="shared" si="42"/>
        <v>164276</v>
      </c>
      <c r="U64" s="27">
        <f t="shared" si="42"/>
        <v>1971310</v>
      </c>
      <c r="V64" s="27">
        <f t="shared" si="42"/>
        <v>36600</v>
      </c>
      <c r="W64" s="27">
        <f t="shared" si="42"/>
        <v>319212</v>
      </c>
    </row>
    <row r="65" spans="1:29" ht="21" customHeight="1">
      <c r="A65" s="15" t="s">
        <v>509</v>
      </c>
      <c r="B65" s="18">
        <v>34</v>
      </c>
      <c r="C65" s="18">
        <v>43</v>
      </c>
      <c r="D65" s="18">
        <v>154705</v>
      </c>
      <c r="E65" s="18">
        <f>D65*12</f>
        <v>1856460</v>
      </c>
      <c r="F65" s="18">
        <v>89270</v>
      </c>
      <c r="G65" s="18">
        <f>F65*12</f>
        <v>1071240</v>
      </c>
      <c r="H65" s="18">
        <v>19</v>
      </c>
      <c r="I65" s="18">
        <v>39</v>
      </c>
      <c r="J65" s="30">
        <v>105865</v>
      </c>
      <c r="K65" s="30">
        <f>J65*12</f>
        <v>1270380</v>
      </c>
      <c r="L65" s="18">
        <v>73161</v>
      </c>
      <c r="M65" s="30">
        <f>L65*12</f>
        <v>877932</v>
      </c>
      <c r="N65" s="18">
        <f>ROUND((E65+G65)*0.16+D65*0.16,0)</f>
        <v>493185</v>
      </c>
      <c r="O65" s="18">
        <f>ROUND((E65+G65)*0.08+D65*0.08,0)</f>
        <v>246592</v>
      </c>
      <c r="P65" s="18">
        <f>ROUND((E65+K65)*0.05,0)</f>
        <v>156342</v>
      </c>
      <c r="Q65" s="18">
        <f>ROUND((E65+G65)*0.005,0)</f>
        <v>14639</v>
      </c>
      <c r="R65" s="18">
        <f>ROUND((E65+G65)*0.08,0)</f>
        <v>234216</v>
      </c>
      <c r="S65" s="18"/>
      <c r="T65" s="18">
        <f>ROUND((E65+G65)*0.01,0)</f>
        <v>29277</v>
      </c>
      <c r="U65" s="18">
        <f>ROUND((E65+G65)*0.12,0)</f>
        <v>351324</v>
      </c>
      <c r="V65" s="18">
        <f>ROUND((C65+I65)*75,0)</f>
        <v>6150</v>
      </c>
      <c r="W65" s="30">
        <f>ROUND((E65+K65)*0.02,0)</f>
        <v>62537</v>
      </c>
      <c r="X65" s="54"/>
      <c r="Y65" s="54"/>
      <c r="Z65" s="54"/>
      <c r="AA65" s="54"/>
      <c r="AB65" s="54"/>
      <c r="AC65" s="54"/>
    </row>
    <row r="66" spans="1:29" ht="21" customHeight="1">
      <c r="A66" s="15" t="s">
        <v>413</v>
      </c>
      <c r="B66" s="18">
        <v>10</v>
      </c>
      <c r="C66" s="18">
        <v>12</v>
      </c>
      <c r="D66" s="18">
        <v>41486</v>
      </c>
      <c r="E66" s="18">
        <f>D66*12</f>
        <v>497832</v>
      </c>
      <c r="F66" s="18">
        <v>24730</v>
      </c>
      <c r="G66" s="18">
        <f>F66*12</f>
        <v>296760</v>
      </c>
      <c r="H66" s="18">
        <v>9</v>
      </c>
      <c r="I66" s="18">
        <v>8</v>
      </c>
      <c r="J66" s="30">
        <v>22466</v>
      </c>
      <c r="K66" s="30">
        <f>J66*12</f>
        <v>269592</v>
      </c>
      <c r="L66" s="18">
        <v>14670</v>
      </c>
      <c r="M66" s="30">
        <f>L66*12</f>
        <v>176040</v>
      </c>
      <c r="N66" s="18">
        <f>ROUND((E66+G66)*0.16+D66*0.16,0)</f>
        <v>133772</v>
      </c>
      <c r="O66" s="18">
        <f>ROUND((E66+G66)*0.08+D66*0.08,0)</f>
        <v>66886</v>
      </c>
      <c r="P66" s="18">
        <f>ROUND((E66+K66)*0.05,0)</f>
        <v>38371</v>
      </c>
      <c r="Q66" s="18">
        <f>ROUND((E66+G66)*0.005,0)</f>
        <v>3973</v>
      </c>
      <c r="R66" s="18">
        <f>ROUND((E66+G66)*0.08,0)</f>
        <v>63567</v>
      </c>
      <c r="S66" s="18"/>
      <c r="T66" s="18">
        <f>ROUND((E66+G66)*0.01,0)</f>
        <v>7946</v>
      </c>
      <c r="U66" s="18">
        <f>ROUND((E66+G66)*0.12,0)</f>
        <v>95351</v>
      </c>
      <c r="V66" s="18">
        <f>ROUND((C66+I66)*75,0)</f>
        <v>1500</v>
      </c>
      <c r="W66" s="30">
        <f>ROUND((E66+K66)*0.02,0)</f>
        <v>15348</v>
      </c>
    </row>
    <row r="67" spans="1:29" ht="21" customHeight="1">
      <c r="A67" s="15" t="s">
        <v>510</v>
      </c>
      <c r="B67" s="18">
        <v>7</v>
      </c>
      <c r="C67" s="18">
        <v>7</v>
      </c>
      <c r="D67" s="18">
        <v>20547</v>
      </c>
      <c r="E67" s="18">
        <f>D67*12</f>
        <v>246564</v>
      </c>
      <c r="F67" s="18">
        <v>13785</v>
      </c>
      <c r="G67" s="18">
        <f>F67*12</f>
        <v>165420</v>
      </c>
      <c r="H67" s="33"/>
      <c r="I67" s="33"/>
      <c r="J67" s="30"/>
      <c r="K67" s="30">
        <f>J67*12</f>
        <v>0</v>
      </c>
      <c r="L67" s="18"/>
      <c r="M67" s="30">
        <f>L67*12</f>
        <v>0</v>
      </c>
      <c r="N67" s="18">
        <f>ROUND((E67+G67)*0.16+D67*0.16,0)</f>
        <v>69205</v>
      </c>
      <c r="O67" s="18">
        <f>ROUND((E67+G67)*0.08+D67*0.08,0)</f>
        <v>34602</v>
      </c>
      <c r="P67" s="18">
        <f>ROUND((E67+K67)*0.05,0)</f>
        <v>12328</v>
      </c>
      <c r="Q67" s="18">
        <f>ROUND((E67+G67)*0.005,0)</f>
        <v>2060</v>
      </c>
      <c r="R67" s="18">
        <f>ROUND((E67+G67)*0.08,0)</f>
        <v>32959</v>
      </c>
      <c r="S67" s="18"/>
      <c r="T67" s="18">
        <f>ROUND((E67+G67)*0.01,0)</f>
        <v>4120</v>
      </c>
      <c r="U67" s="18">
        <f>ROUND((E67+G67)*0.12,0)</f>
        <v>49438</v>
      </c>
      <c r="V67" s="18">
        <f>ROUND((C67+I67)*75,0)</f>
        <v>525</v>
      </c>
      <c r="W67" s="30">
        <f>ROUND((E67+K67)*0.02,0)</f>
        <v>4931</v>
      </c>
    </row>
    <row r="68" spans="1:29" ht="21" customHeight="1">
      <c r="A68" s="25" t="s">
        <v>511</v>
      </c>
      <c r="B68" s="20">
        <f t="shared" ref="B68:W68" si="43">SUM(B65:B67)</f>
        <v>51</v>
      </c>
      <c r="C68" s="20">
        <f t="shared" si="43"/>
        <v>62</v>
      </c>
      <c r="D68" s="20">
        <f t="shared" si="43"/>
        <v>216738</v>
      </c>
      <c r="E68" s="20">
        <f t="shared" si="43"/>
        <v>2600856</v>
      </c>
      <c r="F68" s="20">
        <f t="shared" si="43"/>
        <v>127785</v>
      </c>
      <c r="G68" s="20">
        <f t="shared" si="43"/>
        <v>1533420</v>
      </c>
      <c r="H68" s="20">
        <f t="shared" si="43"/>
        <v>28</v>
      </c>
      <c r="I68" s="20">
        <f t="shared" si="43"/>
        <v>47</v>
      </c>
      <c r="J68" s="20">
        <f t="shared" si="43"/>
        <v>128331</v>
      </c>
      <c r="K68" s="20">
        <f t="shared" si="43"/>
        <v>1539972</v>
      </c>
      <c r="L68" s="20">
        <f t="shared" si="43"/>
        <v>87831</v>
      </c>
      <c r="M68" s="20">
        <f t="shared" si="43"/>
        <v>1053972</v>
      </c>
      <c r="N68" s="20">
        <f t="shared" si="43"/>
        <v>696162</v>
      </c>
      <c r="O68" s="20">
        <f t="shared" si="43"/>
        <v>348080</v>
      </c>
      <c r="P68" s="20">
        <f t="shared" si="43"/>
        <v>207041</v>
      </c>
      <c r="Q68" s="20">
        <f t="shared" si="43"/>
        <v>20672</v>
      </c>
      <c r="R68" s="20">
        <f t="shared" si="43"/>
        <v>330742</v>
      </c>
      <c r="S68" s="20">
        <f t="shared" si="43"/>
        <v>0</v>
      </c>
      <c r="T68" s="20">
        <f t="shared" si="43"/>
        <v>41343</v>
      </c>
      <c r="U68" s="20">
        <f t="shared" si="43"/>
        <v>496113</v>
      </c>
      <c r="V68" s="20">
        <f t="shared" si="43"/>
        <v>8175</v>
      </c>
      <c r="W68" s="20">
        <f t="shared" si="43"/>
        <v>82816</v>
      </c>
    </row>
    <row r="69" spans="1:29" ht="21" customHeight="1">
      <c r="A69" s="34" t="s">
        <v>512</v>
      </c>
      <c r="B69" s="20">
        <f t="shared" ref="B69:W69" si="44">B34+B38+B55+B64+B68</f>
        <v>817</v>
      </c>
      <c r="C69" s="20">
        <f t="shared" si="44"/>
        <v>884</v>
      </c>
      <c r="D69" s="20">
        <f t="shared" si="44"/>
        <v>2988813</v>
      </c>
      <c r="E69" s="20">
        <f t="shared" si="44"/>
        <v>35865756</v>
      </c>
      <c r="F69" s="20">
        <f t="shared" si="44"/>
        <v>1793859</v>
      </c>
      <c r="G69" s="20">
        <f t="shared" si="44"/>
        <v>21526308</v>
      </c>
      <c r="H69" s="20">
        <f t="shared" si="44"/>
        <v>595</v>
      </c>
      <c r="I69" s="20">
        <f t="shared" si="44"/>
        <v>653</v>
      </c>
      <c r="J69" s="20">
        <f t="shared" si="44"/>
        <v>1668313.61</v>
      </c>
      <c r="K69" s="20">
        <f t="shared" si="44"/>
        <v>20019763.32</v>
      </c>
      <c r="L69" s="20">
        <f t="shared" si="44"/>
        <v>1200897</v>
      </c>
      <c r="M69" s="20">
        <f t="shared" si="44"/>
        <v>14410764</v>
      </c>
      <c r="N69" s="20">
        <f t="shared" si="44"/>
        <v>9660940</v>
      </c>
      <c r="O69" s="20">
        <f t="shared" si="44"/>
        <v>4830467</v>
      </c>
      <c r="P69" s="20">
        <f t="shared" si="44"/>
        <v>2794276</v>
      </c>
      <c r="Q69" s="20">
        <f t="shared" si="44"/>
        <v>286966</v>
      </c>
      <c r="R69" s="20">
        <f t="shared" si="44"/>
        <v>4591361</v>
      </c>
      <c r="S69" s="20">
        <f t="shared" si="44"/>
        <v>0</v>
      </c>
      <c r="T69" s="20">
        <f t="shared" si="44"/>
        <v>573924</v>
      </c>
      <c r="U69" s="20">
        <f t="shared" si="44"/>
        <v>6887047</v>
      </c>
      <c r="V69" s="20">
        <f t="shared" si="44"/>
        <v>115275</v>
      </c>
      <c r="W69" s="20">
        <f t="shared" si="44"/>
        <v>1117708</v>
      </c>
    </row>
    <row r="70" spans="1:29" s="2" customFormat="1" ht="21" customHeight="1">
      <c r="A70" s="35" t="s">
        <v>513</v>
      </c>
      <c r="B70" s="36">
        <v>53</v>
      </c>
      <c r="C70" s="36">
        <v>52</v>
      </c>
      <c r="D70" s="18">
        <v>137775</v>
      </c>
      <c r="E70" s="18">
        <f t="shared" ref="E70:E83" si="45">D70*12</f>
        <v>1653300</v>
      </c>
      <c r="F70" s="18">
        <v>98050</v>
      </c>
      <c r="G70" s="18">
        <f t="shared" ref="G70:G83" si="46">F70*12</f>
        <v>1176600</v>
      </c>
      <c r="H70" s="37">
        <v>16</v>
      </c>
      <c r="I70" s="37">
        <v>16</v>
      </c>
      <c r="J70" s="18">
        <v>37541</v>
      </c>
      <c r="K70" s="18">
        <f t="shared" ref="K70:K83" si="47">J70*12</f>
        <v>450492</v>
      </c>
      <c r="L70" s="36">
        <v>28576</v>
      </c>
      <c r="M70" s="18">
        <f t="shared" ref="M70:M83" si="48">L70*12</f>
        <v>342912</v>
      </c>
      <c r="N70" s="18">
        <f t="shared" ref="N70:N83" si="49">ROUND((E70+G70)*0.16+D70*0.16,0)</f>
        <v>474828</v>
      </c>
      <c r="O70" s="18">
        <f t="shared" ref="O70:O83" si="50">ROUND((E70+G70)*0.08+D70*0.08,0)</f>
        <v>237414</v>
      </c>
      <c r="P70" s="18">
        <f t="shared" ref="P70:P83" si="51">ROUND((E70+K70)*0.05,0)</f>
        <v>105190</v>
      </c>
      <c r="Q70" s="18">
        <f t="shared" ref="Q70:Q83" si="52">ROUND((E70+G70)*0.005,0)</f>
        <v>14150</v>
      </c>
      <c r="R70" s="18">
        <f t="shared" ref="R70:R83" si="53">ROUND((E70+G70)*0.08,0)</f>
        <v>226392</v>
      </c>
      <c r="S70" s="18"/>
      <c r="T70" s="18">
        <f t="shared" ref="T70:T83" si="54">ROUND((E70+G70)*0.01,0)</f>
        <v>28299</v>
      </c>
      <c r="U70" s="18">
        <f t="shared" ref="U70:U83" si="55">ROUND((E70+G70)*0.12,0)</f>
        <v>339588</v>
      </c>
      <c r="V70" s="18">
        <f t="shared" ref="V70:V83" si="56">ROUND((C70+I70)*75,0)</f>
        <v>5100</v>
      </c>
      <c r="W70" s="30">
        <f t="shared" ref="W70:W83" si="57">ROUND((E70+K70)*0.02,0)</f>
        <v>42076</v>
      </c>
    </row>
    <row r="71" spans="1:29" s="2" customFormat="1" ht="21" customHeight="1">
      <c r="A71" s="35" t="s">
        <v>514</v>
      </c>
      <c r="B71" s="36">
        <v>57</v>
      </c>
      <c r="C71" s="36">
        <v>59</v>
      </c>
      <c r="D71" s="18">
        <v>155978</v>
      </c>
      <c r="E71" s="18">
        <f t="shared" si="45"/>
        <v>1871736</v>
      </c>
      <c r="F71" s="18">
        <v>111170</v>
      </c>
      <c r="G71" s="18">
        <f t="shared" si="46"/>
        <v>1334040</v>
      </c>
      <c r="H71" s="37">
        <v>4</v>
      </c>
      <c r="I71" s="37">
        <v>4</v>
      </c>
      <c r="J71" s="18">
        <v>9927</v>
      </c>
      <c r="K71" s="18">
        <f t="shared" si="47"/>
        <v>119124</v>
      </c>
      <c r="L71" s="36">
        <v>7228</v>
      </c>
      <c r="M71" s="18">
        <f t="shared" si="48"/>
        <v>86736</v>
      </c>
      <c r="N71" s="18">
        <f t="shared" si="49"/>
        <v>537881</v>
      </c>
      <c r="O71" s="18">
        <f t="shared" si="50"/>
        <v>268940</v>
      </c>
      <c r="P71" s="18">
        <f t="shared" si="51"/>
        <v>99543</v>
      </c>
      <c r="Q71" s="18">
        <f t="shared" si="52"/>
        <v>16029</v>
      </c>
      <c r="R71" s="18">
        <f t="shared" si="53"/>
        <v>256462</v>
      </c>
      <c r="S71" s="18"/>
      <c r="T71" s="18">
        <f t="shared" si="54"/>
        <v>32058</v>
      </c>
      <c r="U71" s="18">
        <f t="shared" si="55"/>
        <v>384693</v>
      </c>
      <c r="V71" s="18">
        <f t="shared" si="56"/>
        <v>4725</v>
      </c>
      <c r="W71" s="30">
        <f t="shared" si="57"/>
        <v>39817</v>
      </c>
    </row>
    <row r="72" spans="1:29" s="2" customFormat="1" ht="21" customHeight="1">
      <c r="A72" s="35" t="s">
        <v>515</v>
      </c>
      <c r="B72" s="36">
        <v>54</v>
      </c>
      <c r="C72" s="36">
        <v>54</v>
      </c>
      <c r="D72" s="18">
        <v>146465</v>
      </c>
      <c r="E72" s="18">
        <f t="shared" si="45"/>
        <v>1757580</v>
      </c>
      <c r="F72" s="18">
        <v>102170</v>
      </c>
      <c r="G72" s="18">
        <f t="shared" si="46"/>
        <v>1226040</v>
      </c>
      <c r="H72" s="37">
        <v>11</v>
      </c>
      <c r="I72" s="37">
        <v>11</v>
      </c>
      <c r="J72" s="18">
        <v>26443</v>
      </c>
      <c r="K72" s="18">
        <f t="shared" si="47"/>
        <v>317316</v>
      </c>
      <c r="L72" s="36">
        <v>19725</v>
      </c>
      <c r="M72" s="18">
        <f t="shared" si="48"/>
        <v>236700</v>
      </c>
      <c r="N72" s="18">
        <f t="shared" si="49"/>
        <v>500814</v>
      </c>
      <c r="O72" s="18">
        <f t="shared" si="50"/>
        <v>250407</v>
      </c>
      <c r="P72" s="18">
        <f t="shared" si="51"/>
        <v>103745</v>
      </c>
      <c r="Q72" s="18">
        <f t="shared" si="52"/>
        <v>14918</v>
      </c>
      <c r="R72" s="18">
        <f t="shared" si="53"/>
        <v>238690</v>
      </c>
      <c r="S72" s="18"/>
      <c r="T72" s="18">
        <f t="shared" si="54"/>
        <v>29836</v>
      </c>
      <c r="U72" s="18">
        <f t="shared" si="55"/>
        <v>358034</v>
      </c>
      <c r="V72" s="18">
        <f t="shared" si="56"/>
        <v>4875</v>
      </c>
      <c r="W72" s="30">
        <f t="shared" si="57"/>
        <v>41498</v>
      </c>
    </row>
    <row r="73" spans="1:29" s="2" customFormat="1" ht="21" customHeight="1">
      <c r="A73" s="35" t="s">
        <v>516</v>
      </c>
      <c r="B73" s="36">
        <v>65</v>
      </c>
      <c r="C73" s="36">
        <v>66</v>
      </c>
      <c r="D73" s="18">
        <v>173806</v>
      </c>
      <c r="E73" s="18">
        <f t="shared" si="45"/>
        <v>2085672</v>
      </c>
      <c r="F73" s="18">
        <v>123695</v>
      </c>
      <c r="G73" s="18">
        <f t="shared" si="46"/>
        <v>1484340</v>
      </c>
      <c r="H73" s="37">
        <v>22</v>
      </c>
      <c r="I73" s="37">
        <v>20</v>
      </c>
      <c r="J73" s="18">
        <v>45815</v>
      </c>
      <c r="K73" s="18">
        <f t="shared" si="47"/>
        <v>549780</v>
      </c>
      <c r="L73" s="36">
        <v>34244</v>
      </c>
      <c r="M73" s="18">
        <f t="shared" si="48"/>
        <v>410928</v>
      </c>
      <c r="N73" s="18">
        <f t="shared" si="49"/>
        <v>599011</v>
      </c>
      <c r="O73" s="18">
        <f t="shared" si="50"/>
        <v>299505</v>
      </c>
      <c r="P73" s="18">
        <f t="shared" si="51"/>
        <v>131773</v>
      </c>
      <c r="Q73" s="18">
        <f t="shared" si="52"/>
        <v>17850</v>
      </c>
      <c r="R73" s="18">
        <f t="shared" si="53"/>
        <v>285601</v>
      </c>
      <c r="S73" s="18"/>
      <c r="T73" s="18">
        <f t="shared" si="54"/>
        <v>35700</v>
      </c>
      <c r="U73" s="18">
        <f t="shared" si="55"/>
        <v>428401</v>
      </c>
      <c r="V73" s="18">
        <f t="shared" si="56"/>
        <v>6450</v>
      </c>
      <c r="W73" s="30">
        <f t="shared" si="57"/>
        <v>52709</v>
      </c>
    </row>
    <row r="74" spans="1:29" s="2" customFormat="1" ht="21" customHeight="1">
      <c r="A74" s="35" t="s">
        <v>517</v>
      </c>
      <c r="B74" s="36">
        <v>67</v>
      </c>
      <c r="C74" s="36">
        <v>75</v>
      </c>
      <c r="D74" s="18">
        <v>193664</v>
      </c>
      <c r="E74" s="18">
        <f t="shared" si="45"/>
        <v>2323968</v>
      </c>
      <c r="F74" s="18">
        <v>140875</v>
      </c>
      <c r="G74" s="18">
        <f t="shared" si="46"/>
        <v>1690500</v>
      </c>
      <c r="H74" s="37">
        <v>29</v>
      </c>
      <c r="I74" s="37">
        <v>28</v>
      </c>
      <c r="J74" s="18">
        <v>66709</v>
      </c>
      <c r="K74" s="18">
        <f t="shared" si="47"/>
        <v>800508</v>
      </c>
      <c r="L74" s="36">
        <v>49360</v>
      </c>
      <c r="M74" s="18">
        <f t="shared" si="48"/>
        <v>592320</v>
      </c>
      <c r="N74" s="18">
        <f t="shared" si="49"/>
        <v>673301</v>
      </c>
      <c r="O74" s="18">
        <f t="shared" si="50"/>
        <v>336651</v>
      </c>
      <c r="P74" s="18">
        <f t="shared" si="51"/>
        <v>156224</v>
      </c>
      <c r="Q74" s="18">
        <f t="shared" si="52"/>
        <v>20072</v>
      </c>
      <c r="R74" s="18">
        <f t="shared" si="53"/>
        <v>321157</v>
      </c>
      <c r="S74" s="18"/>
      <c r="T74" s="18">
        <f t="shared" si="54"/>
        <v>40145</v>
      </c>
      <c r="U74" s="18">
        <f t="shared" si="55"/>
        <v>481736</v>
      </c>
      <c r="V74" s="18">
        <f t="shared" si="56"/>
        <v>7725</v>
      </c>
      <c r="W74" s="30">
        <f t="shared" si="57"/>
        <v>62490</v>
      </c>
    </row>
    <row r="75" spans="1:29" s="2" customFormat="1" ht="21" customHeight="1">
      <c r="A75" s="35" t="s">
        <v>518</v>
      </c>
      <c r="B75" s="36">
        <v>71</v>
      </c>
      <c r="C75" s="36">
        <v>71</v>
      </c>
      <c r="D75" s="18">
        <v>182685</v>
      </c>
      <c r="E75" s="18">
        <f t="shared" si="45"/>
        <v>2192220</v>
      </c>
      <c r="F75" s="18">
        <v>132465</v>
      </c>
      <c r="G75" s="18">
        <f t="shared" si="46"/>
        <v>1589580</v>
      </c>
      <c r="H75" s="37">
        <v>21</v>
      </c>
      <c r="I75" s="37">
        <v>20</v>
      </c>
      <c r="J75" s="18">
        <v>45709</v>
      </c>
      <c r="K75" s="18">
        <f t="shared" si="47"/>
        <v>548508</v>
      </c>
      <c r="L75" s="36">
        <v>34905</v>
      </c>
      <c r="M75" s="18">
        <f t="shared" si="48"/>
        <v>418860</v>
      </c>
      <c r="N75" s="18">
        <f t="shared" si="49"/>
        <v>634318</v>
      </c>
      <c r="O75" s="18">
        <f t="shared" si="50"/>
        <v>317159</v>
      </c>
      <c r="P75" s="18">
        <f t="shared" si="51"/>
        <v>137036</v>
      </c>
      <c r="Q75" s="18">
        <f t="shared" si="52"/>
        <v>18909</v>
      </c>
      <c r="R75" s="18">
        <f t="shared" si="53"/>
        <v>302544</v>
      </c>
      <c r="S75" s="18"/>
      <c r="T75" s="18">
        <f t="shared" si="54"/>
        <v>37818</v>
      </c>
      <c r="U75" s="18">
        <f t="shared" si="55"/>
        <v>453816</v>
      </c>
      <c r="V75" s="18">
        <f t="shared" si="56"/>
        <v>6825</v>
      </c>
      <c r="W75" s="30">
        <f t="shared" si="57"/>
        <v>54815</v>
      </c>
    </row>
    <row r="76" spans="1:29" s="2" customFormat="1" ht="21" customHeight="1">
      <c r="A76" s="35" t="s">
        <v>519</v>
      </c>
      <c r="B76" s="36">
        <v>58</v>
      </c>
      <c r="C76" s="36">
        <v>57</v>
      </c>
      <c r="D76" s="18">
        <v>150390</v>
      </c>
      <c r="E76" s="18">
        <f t="shared" si="45"/>
        <v>1804680</v>
      </c>
      <c r="F76" s="18">
        <v>106875</v>
      </c>
      <c r="G76" s="18">
        <f t="shared" si="46"/>
        <v>1282500</v>
      </c>
      <c r="H76" s="37">
        <v>20</v>
      </c>
      <c r="I76" s="37">
        <v>22</v>
      </c>
      <c r="J76" s="18">
        <v>49228</v>
      </c>
      <c r="K76" s="18">
        <f t="shared" si="47"/>
        <v>590736</v>
      </c>
      <c r="L76" s="36">
        <v>38230</v>
      </c>
      <c r="M76" s="18">
        <f t="shared" si="48"/>
        <v>458760</v>
      </c>
      <c r="N76" s="18">
        <f t="shared" si="49"/>
        <v>518011</v>
      </c>
      <c r="O76" s="18">
        <f t="shared" si="50"/>
        <v>259006</v>
      </c>
      <c r="P76" s="18">
        <f t="shared" si="51"/>
        <v>119771</v>
      </c>
      <c r="Q76" s="18">
        <f t="shared" si="52"/>
        <v>15436</v>
      </c>
      <c r="R76" s="18">
        <f t="shared" si="53"/>
        <v>246974</v>
      </c>
      <c r="S76" s="18"/>
      <c r="T76" s="18">
        <f t="shared" si="54"/>
        <v>30872</v>
      </c>
      <c r="U76" s="18">
        <f t="shared" si="55"/>
        <v>370462</v>
      </c>
      <c r="V76" s="18">
        <f t="shared" si="56"/>
        <v>5925</v>
      </c>
      <c r="W76" s="30">
        <f t="shared" si="57"/>
        <v>47908</v>
      </c>
    </row>
    <row r="77" spans="1:29" s="2" customFormat="1" ht="21" customHeight="1">
      <c r="A77" s="35" t="s">
        <v>520</v>
      </c>
      <c r="B77" s="36">
        <v>68</v>
      </c>
      <c r="C77" s="36">
        <v>69</v>
      </c>
      <c r="D77" s="18">
        <v>175561</v>
      </c>
      <c r="E77" s="18">
        <f t="shared" si="45"/>
        <v>2106732</v>
      </c>
      <c r="F77" s="18">
        <v>128910</v>
      </c>
      <c r="G77" s="18">
        <f t="shared" si="46"/>
        <v>1546920</v>
      </c>
      <c r="H77" s="37">
        <v>8</v>
      </c>
      <c r="I77" s="37">
        <v>9</v>
      </c>
      <c r="J77" s="18">
        <v>19313</v>
      </c>
      <c r="K77" s="18">
        <f t="shared" si="47"/>
        <v>231756</v>
      </c>
      <c r="L77" s="36">
        <v>15991</v>
      </c>
      <c r="M77" s="18">
        <f t="shared" si="48"/>
        <v>191892</v>
      </c>
      <c r="N77" s="18">
        <f t="shared" si="49"/>
        <v>612674</v>
      </c>
      <c r="O77" s="18">
        <f t="shared" si="50"/>
        <v>306337</v>
      </c>
      <c r="P77" s="18">
        <f t="shared" si="51"/>
        <v>116924</v>
      </c>
      <c r="Q77" s="18">
        <f t="shared" si="52"/>
        <v>18268</v>
      </c>
      <c r="R77" s="18">
        <f t="shared" si="53"/>
        <v>292292</v>
      </c>
      <c r="S77" s="18"/>
      <c r="T77" s="18">
        <f t="shared" si="54"/>
        <v>36537</v>
      </c>
      <c r="U77" s="18">
        <f t="shared" si="55"/>
        <v>438438</v>
      </c>
      <c r="V77" s="18">
        <f t="shared" si="56"/>
        <v>5850</v>
      </c>
      <c r="W77" s="30">
        <f t="shared" si="57"/>
        <v>46770</v>
      </c>
    </row>
    <row r="78" spans="1:29" s="2" customFormat="1" ht="21" customHeight="1">
      <c r="A78" s="35" t="s">
        <v>521</v>
      </c>
      <c r="B78" s="36">
        <v>57</v>
      </c>
      <c r="C78" s="36">
        <v>56</v>
      </c>
      <c r="D78" s="18">
        <v>148994</v>
      </c>
      <c r="E78" s="18">
        <f t="shared" si="45"/>
        <v>1787928</v>
      </c>
      <c r="F78" s="18">
        <v>105170</v>
      </c>
      <c r="G78" s="18">
        <f t="shared" si="46"/>
        <v>1262040</v>
      </c>
      <c r="H78" s="37">
        <v>10</v>
      </c>
      <c r="I78" s="37">
        <v>12</v>
      </c>
      <c r="J78" s="18">
        <v>24610</v>
      </c>
      <c r="K78" s="18">
        <f t="shared" si="47"/>
        <v>295320</v>
      </c>
      <c r="L78" s="36">
        <v>21234</v>
      </c>
      <c r="M78" s="18">
        <f t="shared" si="48"/>
        <v>254808</v>
      </c>
      <c r="N78" s="18">
        <f t="shared" si="49"/>
        <v>511834</v>
      </c>
      <c r="O78" s="18">
        <f t="shared" si="50"/>
        <v>255917</v>
      </c>
      <c r="P78" s="18">
        <f t="shared" si="51"/>
        <v>104162</v>
      </c>
      <c r="Q78" s="18">
        <f t="shared" si="52"/>
        <v>15250</v>
      </c>
      <c r="R78" s="18">
        <f t="shared" si="53"/>
        <v>243997</v>
      </c>
      <c r="S78" s="18"/>
      <c r="T78" s="18">
        <f t="shared" si="54"/>
        <v>30500</v>
      </c>
      <c r="U78" s="18">
        <f t="shared" si="55"/>
        <v>365996</v>
      </c>
      <c r="V78" s="18">
        <f t="shared" si="56"/>
        <v>5100</v>
      </c>
      <c r="W78" s="30">
        <f t="shared" si="57"/>
        <v>41665</v>
      </c>
    </row>
    <row r="79" spans="1:29" s="2" customFormat="1" ht="21" customHeight="1">
      <c r="A79" s="35" t="s">
        <v>522</v>
      </c>
      <c r="B79" s="36">
        <v>74</v>
      </c>
      <c r="C79" s="36">
        <v>75</v>
      </c>
      <c r="D79" s="18">
        <v>202506</v>
      </c>
      <c r="E79" s="18">
        <f t="shared" si="45"/>
        <v>2430072</v>
      </c>
      <c r="F79" s="18">
        <v>140965</v>
      </c>
      <c r="G79" s="18">
        <f t="shared" si="46"/>
        <v>1691580</v>
      </c>
      <c r="H79" s="37">
        <v>12</v>
      </c>
      <c r="I79" s="37">
        <v>12</v>
      </c>
      <c r="J79" s="18">
        <v>26802</v>
      </c>
      <c r="K79" s="18">
        <f t="shared" si="47"/>
        <v>321624</v>
      </c>
      <c r="L79" s="36">
        <v>21314</v>
      </c>
      <c r="M79" s="18">
        <f t="shared" si="48"/>
        <v>255768</v>
      </c>
      <c r="N79" s="18">
        <f t="shared" si="49"/>
        <v>691865</v>
      </c>
      <c r="O79" s="18">
        <f t="shared" si="50"/>
        <v>345933</v>
      </c>
      <c r="P79" s="18">
        <f t="shared" si="51"/>
        <v>137585</v>
      </c>
      <c r="Q79" s="18">
        <f t="shared" si="52"/>
        <v>20608</v>
      </c>
      <c r="R79" s="18">
        <f t="shared" si="53"/>
        <v>329732</v>
      </c>
      <c r="S79" s="18"/>
      <c r="T79" s="18">
        <f t="shared" si="54"/>
        <v>41217</v>
      </c>
      <c r="U79" s="18">
        <f t="shared" si="55"/>
        <v>494598</v>
      </c>
      <c r="V79" s="18">
        <f t="shared" si="56"/>
        <v>6525</v>
      </c>
      <c r="W79" s="30">
        <f t="shared" si="57"/>
        <v>55034</v>
      </c>
    </row>
    <row r="80" spans="1:29" s="2" customFormat="1" ht="21" customHeight="1">
      <c r="A80" s="35" t="s">
        <v>523</v>
      </c>
      <c r="B80" s="36">
        <v>54</v>
      </c>
      <c r="C80" s="36">
        <v>56</v>
      </c>
      <c r="D80" s="18">
        <v>150990</v>
      </c>
      <c r="E80" s="18">
        <f t="shared" si="45"/>
        <v>1811880</v>
      </c>
      <c r="F80" s="18">
        <v>106195</v>
      </c>
      <c r="G80" s="18">
        <f t="shared" si="46"/>
        <v>1274340</v>
      </c>
      <c r="H80" s="37">
        <v>8</v>
      </c>
      <c r="I80" s="37">
        <v>8</v>
      </c>
      <c r="J80" s="18">
        <v>17703</v>
      </c>
      <c r="K80" s="18">
        <f t="shared" si="47"/>
        <v>212436</v>
      </c>
      <c r="L80" s="36">
        <v>14053</v>
      </c>
      <c r="M80" s="18">
        <f t="shared" si="48"/>
        <v>168636</v>
      </c>
      <c r="N80" s="18">
        <f t="shared" si="49"/>
        <v>517954</v>
      </c>
      <c r="O80" s="18">
        <f t="shared" si="50"/>
        <v>258977</v>
      </c>
      <c r="P80" s="18">
        <f t="shared" si="51"/>
        <v>101216</v>
      </c>
      <c r="Q80" s="18">
        <f t="shared" si="52"/>
        <v>15431</v>
      </c>
      <c r="R80" s="18">
        <f t="shared" si="53"/>
        <v>246898</v>
      </c>
      <c r="S80" s="18"/>
      <c r="T80" s="18">
        <f t="shared" si="54"/>
        <v>30862</v>
      </c>
      <c r="U80" s="18">
        <f t="shared" si="55"/>
        <v>370346</v>
      </c>
      <c r="V80" s="18">
        <f t="shared" si="56"/>
        <v>4800</v>
      </c>
      <c r="W80" s="30">
        <f t="shared" si="57"/>
        <v>40486</v>
      </c>
    </row>
    <row r="81" spans="1:26" s="2" customFormat="1" ht="21" customHeight="1">
      <c r="A81" s="35" t="s">
        <v>524</v>
      </c>
      <c r="B81" s="36">
        <v>111</v>
      </c>
      <c r="C81" s="36">
        <v>110</v>
      </c>
      <c r="D81" s="18">
        <v>291861</v>
      </c>
      <c r="E81" s="18">
        <f t="shared" si="45"/>
        <v>3502332</v>
      </c>
      <c r="F81" s="18">
        <v>206670</v>
      </c>
      <c r="G81" s="18">
        <f t="shared" si="46"/>
        <v>2480040</v>
      </c>
      <c r="H81" s="37">
        <v>24</v>
      </c>
      <c r="I81" s="37">
        <v>25</v>
      </c>
      <c r="J81" s="18">
        <v>59008</v>
      </c>
      <c r="K81" s="18">
        <f t="shared" si="47"/>
        <v>708096</v>
      </c>
      <c r="L81" s="36">
        <v>44859</v>
      </c>
      <c r="M81" s="18">
        <f t="shared" si="48"/>
        <v>538308</v>
      </c>
      <c r="N81" s="18">
        <f t="shared" si="49"/>
        <v>1003877</v>
      </c>
      <c r="O81" s="18">
        <f t="shared" si="50"/>
        <v>501939</v>
      </c>
      <c r="P81" s="18">
        <f t="shared" si="51"/>
        <v>210521</v>
      </c>
      <c r="Q81" s="18">
        <f t="shared" si="52"/>
        <v>29912</v>
      </c>
      <c r="R81" s="18">
        <f t="shared" si="53"/>
        <v>478590</v>
      </c>
      <c r="S81" s="18"/>
      <c r="T81" s="18">
        <f t="shared" si="54"/>
        <v>59824</v>
      </c>
      <c r="U81" s="18">
        <f t="shared" si="55"/>
        <v>717885</v>
      </c>
      <c r="V81" s="18">
        <f t="shared" si="56"/>
        <v>10125</v>
      </c>
      <c r="W81" s="30">
        <f t="shared" si="57"/>
        <v>84209</v>
      </c>
    </row>
    <row r="82" spans="1:26" s="2" customFormat="1" ht="21" customHeight="1">
      <c r="A82" s="35" t="s">
        <v>525</v>
      </c>
      <c r="B82" s="36">
        <v>63</v>
      </c>
      <c r="C82" s="36">
        <v>63</v>
      </c>
      <c r="D82" s="18">
        <v>166789</v>
      </c>
      <c r="E82" s="18">
        <f t="shared" si="45"/>
        <v>2001468</v>
      </c>
      <c r="F82" s="18">
        <v>118880</v>
      </c>
      <c r="G82" s="18">
        <f t="shared" si="46"/>
        <v>1426560</v>
      </c>
      <c r="H82" s="37">
        <v>8</v>
      </c>
      <c r="I82" s="37">
        <v>7</v>
      </c>
      <c r="J82" s="18">
        <v>17596</v>
      </c>
      <c r="K82" s="18">
        <f t="shared" si="47"/>
        <v>211152</v>
      </c>
      <c r="L82" s="36">
        <v>12213</v>
      </c>
      <c r="M82" s="18">
        <f t="shared" si="48"/>
        <v>146556</v>
      </c>
      <c r="N82" s="18">
        <f t="shared" si="49"/>
        <v>575171</v>
      </c>
      <c r="O82" s="18">
        <f t="shared" si="50"/>
        <v>287585</v>
      </c>
      <c r="P82" s="18">
        <f t="shared" si="51"/>
        <v>110631</v>
      </c>
      <c r="Q82" s="18">
        <f t="shared" si="52"/>
        <v>17140</v>
      </c>
      <c r="R82" s="18">
        <f t="shared" si="53"/>
        <v>274242</v>
      </c>
      <c r="S82" s="18"/>
      <c r="T82" s="18">
        <f t="shared" si="54"/>
        <v>34280</v>
      </c>
      <c r="U82" s="18">
        <f t="shared" si="55"/>
        <v>411363</v>
      </c>
      <c r="V82" s="18">
        <f t="shared" si="56"/>
        <v>5250</v>
      </c>
      <c r="W82" s="30">
        <f t="shared" si="57"/>
        <v>44252</v>
      </c>
    </row>
    <row r="83" spans="1:26" s="2" customFormat="1" ht="21" customHeight="1">
      <c r="A83" s="35" t="s">
        <v>526</v>
      </c>
      <c r="B83" s="36">
        <v>71</v>
      </c>
      <c r="C83" s="36">
        <v>74</v>
      </c>
      <c r="D83" s="18">
        <v>212448</v>
      </c>
      <c r="E83" s="18">
        <f t="shared" si="45"/>
        <v>2549376</v>
      </c>
      <c r="F83" s="18">
        <v>141680</v>
      </c>
      <c r="G83" s="18">
        <f t="shared" si="46"/>
        <v>1700160</v>
      </c>
      <c r="H83" s="37">
        <v>31</v>
      </c>
      <c r="I83" s="37">
        <v>30</v>
      </c>
      <c r="J83" s="18">
        <v>79152</v>
      </c>
      <c r="K83" s="18">
        <f t="shared" si="47"/>
        <v>949824</v>
      </c>
      <c r="L83" s="36">
        <v>55669</v>
      </c>
      <c r="M83" s="18">
        <f t="shared" si="48"/>
        <v>668028</v>
      </c>
      <c r="N83" s="18">
        <f t="shared" si="49"/>
        <v>713917</v>
      </c>
      <c r="O83" s="18">
        <f t="shared" si="50"/>
        <v>356959</v>
      </c>
      <c r="P83" s="18">
        <f t="shared" si="51"/>
        <v>174960</v>
      </c>
      <c r="Q83" s="18">
        <f t="shared" si="52"/>
        <v>21248</v>
      </c>
      <c r="R83" s="18">
        <f t="shared" si="53"/>
        <v>339963</v>
      </c>
      <c r="S83" s="18"/>
      <c r="T83" s="18">
        <f t="shared" si="54"/>
        <v>42495</v>
      </c>
      <c r="U83" s="18">
        <f t="shared" si="55"/>
        <v>509944</v>
      </c>
      <c r="V83" s="18">
        <f t="shared" si="56"/>
        <v>7800</v>
      </c>
      <c r="W83" s="30">
        <f t="shared" si="57"/>
        <v>69984</v>
      </c>
    </row>
    <row r="84" spans="1:26" s="2" customFormat="1" ht="21" customHeight="1">
      <c r="A84" s="34" t="s">
        <v>527</v>
      </c>
      <c r="B84" s="20">
        <f t="shared" ref="B84:W84" si="58">SUM(B70:B83)</f>
        <v>923</v>
      </c>
      <c r="C84" s="20">
        <f t="shared" si="58"/>
        <v>937</v>
      </c>
      <c r="D84" s="20">
        <f t="shared" si="58"/>
        <v>2489912</v>
      </c>
      <c r="E84" s="20">
        <f t="shared" si="58"/>
        <v>29878944</v>
      </c>
      <c r="F84" s="20">
        <f t="shared" si="58"/>
        <v>1763770</v>
      </c>
      <c r="G84" s="20">
        <f t="shared" si="58"/>
        <v>21165240</v>
      </c>
      <c r="H84" s="20">
        <f t="shared" si="58"/>
        <v>224</v>
      </c>
      <c r="I84" s="20">
        <f t="shared" si="58"/>
        <v>224</v>
      </c>
      <c r="J84" s="20">
        <f t="shared" si="58"/>
        <v>525556</v>
      </c>
      <c r="K84" s="20">
        <f t="shared" si="58"/>
        <v>6306672</v>
      </c>
      <c r="L84" s="20">
        <f t="shared" si="58"/>
        <v>397601</v>
      </c>
      <c r="M84" s="20">
        <f t="shared" si="58"/>
        <v>4771212</v>
      </c>
      <c r="N84" s="20">
        <f t="shared" si="58"/>
        <v>8565456</v>
      </c>
      <c r="O84" s="20">
        <f t="shared" si="58"/>
        <v>4282729</v>
      </c>
      <c r="P84" s="20">
        <f t="shared" si="58"/>
        <v>1809281</v>
      </c>
      <c r="Q84" s="20">
        <f t="shared" si="58"/>
        <v>255221</v>
      </c>
      <c r="R84" s="20">
        <f t="shared" si="58"/>
        <v>4083534</v>
      </c>
      <c r="S84" s="20">
        <f t="shared" si="58"/>
        <v>0</v>
      </c>
      <c r="T84" s="20">
        <f t="shared" si="58"/>
        <v>510443</v>
      </c>
      <c r="U84" s="20">
        <f t="shared" si="58"/>
        <v>6125300</v>
      </c>
      <c r="V84" s="20">
        <f t="shared" si="58"/>
        <v>87075</v>
      </c>
      <c r="W84" s="20">
        <f t="shared" si="58"/>
        <v>723713</v>
      </c>
    </row>
    <row r="85" spans="1:26" s="1" customFormat="1" ht="24.95" customHeight="1">
      <c r="A85" s="38" t="s">
        <v>528</v>
      </c>
      <c r="B85" s="20">
        <v>1</v>
      </c>
      <c r="C85" s="20">
        <v>1</v>
      </c>
      <c r="D85" s="20"/>
      <c r="E85" s="20"/>
      <c r="F85" s="20"/>
      <c r="G85" s="20">
        <v>22800</v>
      </c>
      <c r="H85" s="20">
        <v>4</v>
      </c>
      <c r="I85" s="20">
        <v>4</v>
      </c>
      <c r="J85" s="20">
        <v>5795</v>
      </c>
      <c r="K85" s="20">
        <f t="shared" ref="K85:K91" si="59">J85*12</f>
        <v>69540</v>
      </c>
      <c r="L85" s="20">
        <f>1589*I85</f>
        <v>6356</v>
      </c>
      <c r="M85" s="20">
        <f t="shared" ref="M85:M91" si="60">L85*12</f>
        <v>76272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6" s="2" customFormat="1" ht="21" customHeight="1">
      <c r="A86" s="34" t="s">
        <v>529</v>
      </c>
      <c r="B86" s="20">
        <f t="shared" ref="B86:W86" si="61">B69+B84+B85</f>
        <v>1741</v>
      </c>
      <c r="C86" s="20">
        <f t="shared" si="61"/>
        <v>1822</v>
      </c>
      <c r="D86" s="20">
        <f t="shared" si="61"/>
        <v>5478725</v>
      </c>
      <c r="E86" s="20">
        <f t="shared" si="61"/>
        <v>65744700</v>
      </c>
      <c r="F86" s="20">
        <f t="shared" si="61"/>
        <v>3557629</v>
      </c>
      <c r="G86" s="20">
        <f t="shared" si="61"/>
        <v>42714348</v>
      </c>
      <c r="H86" s="20">
        <f t="shared" si="61"/>
        <v>823</v>
      </c>
      <c r="I86" s="20">
        <f t="shared" si="61"/>
        <v>881</v>
      </c>
      <c r="J86" s="20">
        <f t="shared" si="61"/>
        <v>2199664.61</v>
      </c>
      <c r="K86" s="20">
        <f t="shared" si="61"/>
        <v>26395975.32</v>
      </c>
      <c r="L86" s="20">
        <f t="shared" si="61"/>
        <v>1604854</v>
      </c>
      <c r="M86" s="20">
        <f t="shared" si="61"/>
        <v>19258248</v>
      </c>
      <c r="N86" s="20">
        <f t="shared" si="61"/>
        <v>18226396</v>
      </c>
      <c r="O86" s="20">
        <f t="shared" si="61"/>
        <v>9113196</v>
      </c>
      <c r="P86" s="20">
        <f t="shared" si="61"/>
        <v>4603557</v>
      </c>
      <c r="Q86" s="20">
        <f t="shared" si="61"/>
        <v>542187</v>
      </c>
      <c r="R86" s="20">
        <f t="shared" si="61"/>
        <v>8674895</v>
      </c>
      <c r="S86" s="20">
        <f t="shared" si="61"/>
        <v>0</v>
      </c>
      <c r="T86" s="20">
        <f t="shared" si="61"/>
        <v>1084367</v>
      </c>
      <c r="U86" s="20">
        <f t="shared" si="61"/>
        <v>13012347</v>
      </c>
      <c r="V86" s="20">
        <f t="shared" si="61"/>
        <v>202350</v>
      </c>
      <c r="W86" s="20">
        <f t="shared" si="61"/>
        <v>1841421</v>
      </c>
    </row>
    <row r="87" spans="1:26" s="1" customFormat="1" ht="21" customHeight="1">
      <c r="A87" s="39" t="s">
        <v>530</v>
      </c>
      <c r="B87" s="18">
        <v>1533</v>
      </c>
      <c r="C87" s="18">
        <v>1616</v>
      </c>
      <c r="D87" s="18">
        <v>6008590</v>
      </c>
      <c r="E87" s="18">
        <f>D87*12</f>
        <v>72103080</v>
      </c>
      <c r="F87" s="18">
        <v>3684480</v>
      </c>
      <c r="G87" s="18">
        <f>F87*12</f>
        <v>44213760</v>
      </c>
      <c r="H87" s="18">
        <v>906</v>
      </c>
      <c r="I87" s="18">
        <v>901</v>
      </c>
      <c r="J87" s="18">
        <v>2512521</v>
      </c>
      <c r="K87" s="18">
        <f t="shared" si="59"/>
        <v>30150252</v>
      </c>
      <c r="L87" s="18">
        <v>1712356</v>
      </c>
      <c r="M87" s="18">
        <f t="shared" si="60"/>
        <v>20548272</v>
      </c>
      <c r="N87" s="18">
        <f>ROUND((E87+G87)*0.16+D87*0.16,0)</f>
        <v>19572069</v>
      </c>
      <c r="O87" s="18">
        <f>ROUND((E87+G87)*0.08+D87*0.08,0)</f>
        <v>9786034</v>
      </c>
      <c r="P87" s="18"/>
      <c r="Q87" s="18">
        <f>ROUND((E87+G87)*0.005,0)</f>
        <v>581584</v>
      </c>
      <c r="R87" s="18">
        <f>ROUND((E87+G87)*0.08,0)</f>
        <v>9305347</v>
      </c>
      <c r="S87" s="18">
        <f>ROUND((E87+G87)*0.007,0)</f>
        <v>814218</v>
      </c>
      <c r="T87" s="18">
        <f>ROUND((E87+G87)*0.014,0)</f>
        <v>1628436</v>
      </c>
      <c r="U87" s="18">
        <f>ROUND((E87+G87)*0.12,0)</f>
        <v>13958021</v>
      </c>
      <c r="V87" s="18">
        <f>ROUND((C87+I87)*75,0)</f>
        <v>188775</v>
      </c>
      <c r="W87" s="30">
        <f>ROUND((E87+K87)*0.02,0)</f>
        <v>2045067</v>
      </c>
    </row>
    <row r="88" spans="1:26" s="1" customFormat="1" ht="21" customHeight="1">
      <c r="A88" s="40" t="s">
        <v>531</v>
      </c>
      <c r="B88" s="20">
        <f t="shared" ref="B88:W88" si="62">SUM(B87:B87)</f>
        <v>1533</v>
      </c>
      <c r="C88" s="20">
        <f t="shared" si="62"/>
        <v>1616</v>
      </c>
      <c r="D88" s="20">
        <f t="shared" si="62"/>
        <v>6008590</v>
      </c>
      <c r="E88" s="20">
        <f t="shared" si="62"/>
        <v>72103080</v>
      </c>
      <c r="F88" s="20">
        <f t="shared" si="62"/>
        <v>3684480</v>
      </c>
      <c r="G88" s="20">
        <f t="shared" si="62"/>
        <v>44213760</v>
      </c>
      <c r="H88" s="20">
        <f t="shared" si="62"/>
        <v>906</v>
      </c>
      <c r="I88" s="20">
        <f t="shared" si="62"/>
        <v>901</v>
      </c>
      <c r="J88" s="20">
        <f t="shared" si="62"/>
        <v>2512521</v>
      </c>
      <c r="K88" s="20">
        <f t="shared" si="62"/>
        <v>30150252</v>
      </c>
      <c r="L88" s="20">
        <f t="shared" si="62"/>
        <v>1712356</v>
      </c>
      <c r="M88" s="20">
        <f t="shared" si="62"/>
        <v>20548272</v>
      </c>
      <c r="N88" s="20">
        <f t="shared" si="62"/>
        <v>19572069</v>
      </c>
      <c r="O88" s="20">
        <f t="shared" si="62"/>
        <v>9786034</v>
      </c>
      <c r="P88" s="20">
        <f t="shared" si="62"/>
        <v>0</v>
      </c>
      <c r="Q88" s="20">
        <f t="shared" si="62"/>
        <v>581584</v>
      </c>
      <c r="R88" s="20">
        <f t="shared" si="62"/>
        <v>9305347</v>
      </c>
      <c r="S88" s="20">
        <f t="shared" si="62"/>
        <v>814218</v>
      </c>
      <c r="T88" s="20">
        <f t="shared" si="62"/>
        <v>1628436</v>
      </c>
      <c r="U88" s="20">
        <f t="shared" si="62"/>
        <v>13958021</v>
      </c>
      <c r="V88" s="20">
        <f t="shared" si="62"/>
        <v>188775</v>
      </c>
      <c r="W88" s="20">
        <f t="shared" si="62"/>
        <v>2045067</v>
      </c>
      <c r="X88" s="1" t="e">
        <f>#REF!+C87+#REF!</f>
        <v>#REF!</v>
      </c>
      <c r="Y88" s="1" t="e">
        <f>#REF!+I87+#REF!</f>
        <v>#REF!</v>
      </c>
    </row>
    <row r="89" spans="1:26" s="1" customFormat="1" ht="21" customHeight="1">
      <c r="A89" s="41" t="s">
        <v>532</v>
      </c>
      <c r="B89" s="18">
        <v>3</v>
      </c>
      <c r="C89" s="18">
        <v>3</v>
      </c>
      <c r="D89" s="18">
        <v>9290</v>
      </c>
      <c r="E89" s="18">
        <f>D89*12</f>
        <v>111480</v>
      </c>
      <c r="F89" s="18">
        <v>6840</v>
      </c>
      <c r="G89" s="18">
        <f>F89*12</f>
        <v>82080</v>
      </c>
      <c r="H89" s="18">
        <v>2</v>
      </c>
      <c r="I89" s="18">
        <v>2</v>
      </c>
      <c r="J89" s="18">
        <v>3770</v>
      </c>
      <c r="K89" s="18">
        <f t="shared" si="59"/>
        <v>45240</v>
      </c>
      <c r="L89" s="18">
        <v>3406</v>
      </c>
      <c r="M89" s="18">
        <f t="shared" si="60"/>
        <v>40872</v>
      </c>
      <c r="N89" s="18">
        <f>ROUND((E89+G89)*0.16+D89*0.16,0)</f>
        <v>32456</v>
      </c>
      <c r="O89" s="18">
        <f>ROUND((E89+G89)*0.08+D89*0.08,0)</f>
        <v>16228</v>
      </c>
      <c r="P89" s="18"/>
      <c r="Q89" s="18">
        <f>ROUND((E89+G89)*0.005,0)</f>
        <v>968</v>
      </c>
      <c r="R89" s="18">
        <f>ROUND((E89+G89)*0.08,0)</f>
        <v>15485</v>
      </c>
      <c r="S89" s="18">
        <f>ROUND((E89+G89)*0.007,0)</f>
        <v>1355</v>
      </c>
      <c r="T89" s="18">
        <f>ROUND((E89+G89)*0.014,0)</f>
        <v>2710</v>
      </c>
      <c r="U89" s="18">
        <f>ROUND((E89+G89)*0.12,0)</f>
        <v>23227</v>
      </c>
      <c r="V89" s="18">
        <f>ROUND((C89+I89)*75,0)</f>
        <v>375</v>
      </c>
      <c r="W89" s="30">
        <f>ROUND((E89+K89)*0.02,0)</f>
        <v>3134</v>
      </c>
    </row>
    <row r="90" spans="1:26" s="1" customFormat="1" ht="21" customHeight="1">
      <c r="A90" s="42" t="s">
        <v>533</v>
      </c>
      <c r="B90" s="18">
        <v>7</v>
      </c>
      <c r="C90" s="18">
        <v>7</v>
      </c>
      <c r="D90" s="18">
        <v>22687</v>
      </c>
      <c r="E90" s="18">
        <f>D90*12</f>
        <v>272244</v>
      </c>
      <c r="F90" s="18">
        <v>15960</v>
      </c>
      <c r="G90" s="18">
        <f>F90*12</f>
        <v>191520</v>
      </c>
      <c r="H90" s="18">
        <v>6</v>
      </c>
      <c r="I90" s="18">
        <v>6</v>
      </c>
      <c r="J90" s="18">
        <v>15706</v>
      </c>
      <c r="K90" s="18">
        <f t="shared" si="59"/>
        <v>188472</v>
      </c>
      <c r="L90" s="18">
        <v>10947</v>
      </c>
      <c r="M90" s="18">
        <f t="shared" si="60"/>
        <v>131364</v>
      </c>
      <c r="N90" s="18">
        <f>ROUND((E90+G90)*0.16+D90*0.16,0)</f>
        <v>77832</v>
      </c>
      <c r="O90" s="18">
        <f>ROUND((E90+G90)*0.08+D90*0.08,0)</f>
        <v>38916</v>
      </c>
      <c r="P90" s="18"/>
      <c r="Q90" s="18">
        <f>ROUND((E90+G90)*0.005,0)</f>
        <v>2319</v>
      </c>
      <c r="R90" s="18">
        <f>ROUND((E90+G90)*0.08,0)</f>
        <v>37101</v>
      </c>
      <c r="S90" s="18">
        <f>ROUND((E90+G90)*0.007,0)</f>
        <v>3246</v>
      </c>
      <c r="T90" s="18">
        <f>ROUND((E90+G90)*0.014,0)</f>
        <v>6493</v>
      </c>
      <c r="U90" s="18">
        <f>ROUND((E90+G90)*0.12,0)</f>
        <v>55652</v>
      </c>
      <c r="V90" s="18">
        <f>ROUND((C90+I90)*75,0)</f>
        <v>975</v>
      </c>
      <c r="W90" s="30">
        <f>ROUND((E90+K90)*0.02,0)</f>
        <v>9214</v>
      </c>
    </row>
    <row r="91" spans="1:26" s="1" customFormat="1" ht="21" customHeight="1">
      <c r="A91" s="42" t="s">
        <v>534</v>
      </c>
      <c r="B91" s="18">
        <v>13</v>
      </c>
      <c r="C91" s="18">
        <v>12</v>
      </c>
      <c r="D91" s="18">
        <v>50182</v>
      </c>
      <c r="E91" s="18">
        <f>D91*12</f>
        <v>602184</v>
      </c>
      <c r="F91" s="18">
        <v>27360</v>
      </c>
      <c r="G91" s="18">
        <f>F91*12</f>
        <v>328320</v>
      </c>
      <c r="H91" s="18">
        <v>7</v>
      </c>
      <c r="I91" s="18">
        <v>8</v>
      </c>
      <c r="J91" s="18">
        <v>19403</v>
      </c>
      <c r="K91" s="18">
        <f t="shared" si="59"/>
        <v>232836</v>
      </c>
      <c r="L91" s="18">
        <v>14481</v>
      </c>
      <c r="M91" s="18">
        <f t="shared" si="60"/>
        <v>173772</v>
      </c>
      <c r="N91" s="18">
        <f>ROUND((E91+G91)*0.16+D91*0.16,0)</f>
        <v>156910</v>
      </c>
      <c r="O91" s="18">
        <f>ROUND((E91+G91)*0.08+D91*0.08,0)</f>
        <v>78455</v>
      </c>
      <c r="P91" s="18"/>
      <c r="Q91" s="18">
        <f>ROUND((E91+G91)*0.005,0)</f>
        <v>4653</v>
      </c>
      <c r="R91" s="18">
        <f>ROUND((E91+G91)*0.08,0)</f>
        <v>74440</v>
      </c>
      <c r="S91" s="18">
        <f>ROUND((E91+G91)*0.007,0)</f>
        <v>6514</v>
      </c>
      <c r="T91" s="18">
        <f>ROUND((E91+G91)*0.014,0)</f>
        <v>13027</v>
      </c>
      <c r="U91" s="18">
        <f>ROUND((E91+G91)*0.12,0)</f>
        <v>111660</v>
      </c>
      <c r="V91" s="18">
        <f>ROUND((C91+I91)*75,0)</f>
        <v>1500</v>
      </c>
      <c r="W91" s="30">
        <f>ROUND((E91+K91)*0.02,0)</f>
        <v>16700</v>
      </c>
    </row>
    <row r="92" spans="1:26" s="1" customFormat="1" ht="21" customHeight="1">
      <c r="A92" s="40" t="s">
        <v>535</v>
      </c>
      <c r="B92" s="20">
        <f t="shared" ref="B92:W92" si="63">SUM(B89:B91)</f>
        <v>23</v>
      </c>
      <c r="C92" s="20">
        <f t="shared" si="63"/>
        <v>22</v>
      </c>
      <c r="D92" s="20">
        <f t="shared" si="63"/>
        <v>82159</v>
      </c>
      <c r="E92" s="20">
        <f t="shared" si="63"/>
        <v>985908</v>
      </c>
      <c r="F92" s="20">
        <f t="shared" si="63"/>
        <v>50160</v>
      </c>
      <c r="G92" s="20">
        <f t="shared" si="63"/>
        <v>601920</v>
      </c>
      <c r="H92" s="20">
        <f t="shared" si="63"/>
        <v>15</v>
      </c>
      <c r="I92" s="20">
        <f t="shared" si="63"/>
        <v>16</v>
      </c>
      <c r="J92" s="20">
        <f t="shared" si="63"/>
        <v>38879</v>
      </c>
      <c r="K92" s="20">
        <f t="shared" si="63"/>
        <v>466548</v>
      </c>
      <c r="L92" s="20">
        <f t="shared" si="63"/>
        <v>28834</v>
      </c>
      <c r="M92" s="20">
        <f t="shared" si="63"/>
        <v>346008</v>
      </c>
      <c r="N92" s="20">
        <f t="shared" si="63"/>
        <v>267198</v>
      </c>
      <c r="O92" s="20">
        <f t="shared" si="63"/>
        <v>133599</v>
      </c>
      <c r="P92" s="20">
        <f t="shared" si="63"/>
        <v>0</v>
      </c>
      <c r="Q92" s="20">
        <f t="shared" si="63"/>
        <v>7940</v>
      </c>
      <c r="R92" s="20">
        <f t="shared" si="63"/>
        <v>127026</v>
      </c>
      <c r="S92" s="20">
        <f t="shared" si="63"/>
        <v>11115</v>
      </c>
      <c r="T92" s="20">
        <f t="shared" si="63"/>
        <v>22230</v>
      </c>
      <c r="U92" s="20">
        <f t="shared" si="63"/>
        <v>190539</v>
      </c>
      <c r="V92" s="20">
        <f t="shared" si="63"/>
        <v>2850</v>
      </c>
      <c r="W92" s="20">
        <f t="shared" si="63"/>
        <v>29048</v>
      </c>
    </row>
    <row r="93" spans="1:26" s="1" customFormat="1" ht="21" customHeight="1">
      <c r="A93" s="42" t="s">
        <v>536</v>
      </c>
      <c r="B93" s="18">
        <v>98</v>
      </c>
      <c r="C93" s="18">
        <v>93</v>
      </c>
      <c r="D93" s="18">
        <v>273340</v>
      </c>
      <c r="E93" s="18">
        <f>D93*12</f>
        <v>3280080</v>
      </c>
      <c r="F93" s="18">
        <f>1900*C93</f>
        <v>176700</v>
      </c>
      <c r="G93" s="18">
        <f>F93*12</f>
        <v>2120400</v>
      </c>
      <c r="H93" s="18">
        <v>65</v>
      </c>
      <c r="I93" s="18">
        <v>67</v>
      </c>
      <c r="J93" s="18">
        <v>263594.2</v>
      </c>
      <c r="K93" s="18">
        <f>J93*12</f>
        <v>3163130.4</v>
      </c>
      <c r="L93" s="18">
        <f>1589*I93</f>
        <v>106463</v>
      </c>
      <c r="M93" s="18">
        <f>L93*12</f>
        <v>1277556</v>
      </c>
      <c r="N93" s="18">
        <f>ROUND((E93+G93)*0.16+D93*0.16,0)</f>
        <v>907811</v>
      </c>
      <c r="O93" s="18">
        <f>ROUND((E93+G93)*0.08+D93*0.08,0)</f>
        <v>453906</v>
      </c>
      <c r="P93" s="18"/>
      <c r="Q93" s="18">
        <f>ROUND((E93+G93)*0.005,0)</f>
        <v>27002</v>
      </c>
      <c r="R93" s="18">
        <f>ROUND((E93+G93)*0.08,0)</f>
        <v>432038</v>
      </c>
      <c r="S93" s="18">
        <f>ROUND((E93+G93)*0.007,0)</f>
        <v>37803</v>
      </c>
      <c r="T93" s="18">
        <f>ROUND((E93+G93)*0.014,0)</f>
        <v>75607</v>
      </c>
      <c r="U93" s="18">
        <f>ROUND((E93+G93)*0.12,0)</f>
        <v>648058</v>
      </c>
      <c r="V93" s="18">
        <f>ROUND((C93+I93)*75,0)</f>
        <v>12000</v>
      </c>
      <c r="W93" s="30">
        <f>ROUND((E93+K93)*0.02,0)</f>
        <v>128864</v>
      </c>
      <c r="X93" s="482" t="s">
        <v>537</v>
      </c>
      <c r="Y93" s="482"/>
      <c r="Z93" s="482"/>
    </row>
    <row r="94" spans="1:26" s="1" customFormat="1" ht="21" customHeight="1">
      <c r="A94" s="40" t="s">
        <v>538</v>
      </c>
      <c r="B94" s="20">
        <f t="shared" ref="B94:W94" si="64">SUM(B93)</f>
        <v>98</v>
      </c>
      <c r="C94" s="20">
        <f t="shared" si="64"/>
        <v>93</v>
      </c>
      <c r="D94" s="20">
        <f t="shared" si="64"/>
        <v>273340</v>
      </c>
      <c r="E94" s="20">
        <f t="shared" si="64"/>
        <v>3280080</v>
      </c>
      <c r="F94" s="20">
        <f t="shared" si="64"/>
        <v>176700</v>
      </c>
      <c r="G94" s="20">
        <f t="shared" si="64"/>
        <v>2120400</v>
      </c>
      <c r="H94" s="20">
        <f t="shared" si="64"/>
        <v>65</v>
      </c>
      <c r="I94" s="20">
        <f t="shared" si="64"/>
        <v>67</v>
      </c>
      <c r="J94" s="20">
        <f t="shared" si="64"/>
        <v>263594.2</v>
      </c>
      <c r="K94" s="20">
        <f t="shared" si="64"/>
        <v>3163130.4</v>
      </c>
      <c r="L94" s="20">
        <f t="shared" si="64"/>
        <v>106463</v>
      </c>
      <c r="M94" s="20">
        <f t="shared" si="64"/>
        <v>1277556</v>
      </c>
      <c r="N94" s="20">
        <f t="shared" si="64"/>
        <v>907811</v>
      </c>
      <c r="O94" s="20">
        <f t="shared" si="64"/>
        <v>453906</v>
      </c>
      <c r="P94" s="20">
        <f t="shared" si="64"/>
        <v>0</v>
      </c>
      <c r="Q94" s="20">
        <f t="shared" si="64"/>
        <v>27002</v>
      </c>
      <c r="R94" s="20">
        <f t="shared" si="64"/>
        <v>432038</v>
      </c>
      <c r="S94" s="20">
        <f t="shared" si="64"/>
        <v>37803</v>
      </c>
      <c r="T94" s="20">
        <f t="shared" si="64"/>
        <v>75607</v>
      </c>
      <c r="U94" s="20">
        <f t="shared" si="64"/>
        <v>648058</v>
      </c>
      <c r="V94" s="20">
        <f t="shared" si="64"/>
        <v>12000</v>
      </c>
      <c r="W94" s="20">
        <f t="shared" si="64"/>
        <v>128864</v>
      </c>
    </row>
    <row r="95" spans="1:26" s="1" customFormat="1" ht="21" customHeight="1">
      <c r="A95" s="43" t="s">
        <v>539</v>
      </c>
      <c r="B95" s="18">
        <v>5</v>
      </c>
      <c r="C95" s="18">
        <v>4</v>
      </c>
      <c r="D95" s="18">
        <v>15958</v>
      </c>
      <c r="E95" s="18">
        <f t="shared" ref="E95:E130" si="65">D95*12</f>
        <v>191496</v>
      </c>
      <c r="F95" s="18">
        <f t="shared" ref="F95:F130" si="66">1900*C95</f>
        <v>7600</v>
      </c>
      <c r="G95" s="18">
        <f t="shared" ref="G95:G130" si="67">F95*12</f>
        <v>91200</v>
      </c>
      <c r="H95" s="18">
        <v>1</v>
      </c>
      <c r="I95" s="18"/>
      <c r="J95" s="18"/>
      <c r="K95" s="18">
        <f t="shared" ref="K95:K120" si="68">J95*12</f>
        <v>0</v>
      </c>
      <c r="L95" s="18">
        <f>1589*I95</f>
        <v>0</v>
      </c>
      <c r="M95" s="18">
        <f t="shared" ref="M95:M130" si="69">L95*12</f>
        <v>0</v>
      </c>
      <c r="N95" s="18">
        <f t="shared" ref="N95:N130" si="70">ROUND((E95+G95)*0.16+D95*0.16,0)</f>
        <v>47785</v>
      </c>
      <c r="O95" s="18">
        <f t="shared" ref="O95:O130" si="71">ROUND((E95+G95)*0.08+D95*0.08,0)</f>
        <v>23892</v>
      </c>
      <c r="P95" s="18"/>
      <c r="Q95" s="18">
        <f t="shared" ref="Q95:Q130" si="72">ROUND((E95+G95)*0.005,0)</f>
        <v>1413</v>
      </c>
      <c r="R95" s="18">
        <f t="shared" ref="R95:R126" si="73">ROUND((E95+G95)*0.08,0)</f>
        <v>22616</v>
      </c>
      <c r="S95" s="18">
        <f t="shared" ref="S95:S130" si="74">ROUND((E95+G95)*0.007,0)</f>
        <v>1979</v>
      </c>
      <c r="T95" s="18">
        <f t="shared" ref="T95:T130" si="75">ROUND((E95+G95)*0.01,0)</f>
        <v>2827</v>
      </c>
      <c r="U95" s="18">
        <f t="shared" ref="U95:U130" si="76">ROUND((E95+G95)*0.12,0)</f>
        <v>33924</v>
      </c>
      <c r="V95" s="18">
        <f t="shared" ref="V95:V130" si="77">ROUND((C95+I95)*75,0)</f>
        <v>300</v>
      </c>
      <c r="W95" s="30">
        <f t="shared" ref="W95:W130" si="78">ROUND((E95+K95)*0.02,0)</f>
        <v>3830</v>
      </c>
    </row>
    <row r="96" spans="1:26" s="1" customFormat="1" ht="21" customHeight="1">
      <c r="A96" s="44" t="s">
        <v>540</v>
      </c>
      <c r="B96" s="18">
        <v>33</v>
      </c>
      <c r="C96" s="18">
        <v>32</v>
      </c>
      <c r="D96" s="18">
        <v>87502</v>
      </c>
      <c r="E96" s="18">
        <f t="shared" si="65"/>
        <v>1050024</v>
      </c>
      <c r="F96" s="18">
        <f t="shared" si="66"/>
        <v>60800</v>
      </c>
      <c r="G96" s="18">
        <f t="shared" si="67"/>
        <v>729600</v>
      </c>
      <c r="H96" s="18"/>
      <c r="I96" s="18"/>
      <c r="J96" s="18"/>
      <c r="K96" s="18">
        <f t="shared" si="68"/>
        <v>0</v>
      </c>
      <c r="L96" s="18">
        <f>1589*I96</f>
        <v>0</v>
      </c>
      <c r="M96" s="18">
        <f t="shared" si="69"/>
        <v>0</v>
      </c>
      <c r="N96" s="18">
        <f t="shared" si="70"/>
        <v>298740</v>
      </c>
      <c r="O96" s="18">
        <f t="shared" si="71"/>
        <v>149370</v>
      </c>
      <c r="P96" s="18"/>
      <c r="Q96" s="18">
        <f t="shared" si="72"/>
        <v>8898</v>
      </c>
      <c r="R96" s="18">
        <f t="shared" si="73"/>
        <v>142370</v>
      </c>
      <c r="S96" s="18">
        <f t="shared" si="74"/>
        <v>12457</v>
      </c>
      <c r="T96" s="18">
        <f t="shared" si="75"/>
        <v>17796</v>
      </c>
      <c r="U96" s="18">
        <f t="shared" si="76"/>
        <v>213555</v>
      </c>
      <c r="V96" s="18">
        <f t="shared" si="77"/>
        <v>2400</v>
      </c>
      <c r="W96" s="30">
        <f t="shared" si="78"/>
        <v>21000</v>
      </c>
    </row>
    <row r="97" spans="1:27" s="1" customFormat="1" ht="21" customHeight="1">
      <c r="A97" s="45" t="s">
        <v>503</v>
      </c>
      <c r="B97" s="18">
        <v>6</v>
      </c>
      <c r="C97" s="18">
        <v>4</v>
      </c>
      <c r="D97" s="18">
        <v>12035</v>
      </c>
      <c r="E97" s="18">
        <f t="shared" si="65"/>
        <v>144420</v>
      </c>
      <c r="F97" s="18">
        <f t="shared" si="66"/>
        <v>7600</v>
      </c>
      <c r="G97" s="18">
        <f t="shared" si="67"/>
        <v>91200</v>
      </c>
      <c r="H97" s="18"/>
      <c r="I97" s="18"/>
      <c r="J97" s="18"/>
      <c r="K97" s="18">
        <f t="shared" si="68"/>
        <v>0</v>
      </c>
      <c r="L97" s="18">
        <f>1589*I97</f>
        <v>0</v>
      </c>
      <c r="M97" s="18">
        <f t="shared" si="69"/>
        <v>0</v>
      </c>
      <c r="N97" s="18">
        <f t="shared" si="70"/>
        <v>39625</v>
      </c>
      <c r="O97" s="18">
        <f t="shared" si="71"/>
        <v>19812</v>
      </c>
      <c r="P97" s="18"/>
      <c r="Q97" s="18">
        <f t="shared" si="72"/>
        <v>1178</v>
      </c>
      <c r="R97" s="18">
        <f t="shared" si="73"/>
        <v>18850</v>
      </c>
      <c r="S97" s="18">
        <f t="shared" si="74"/>
        <v>1649</v>
      </c>
      <c r="T97" s="18">
        <f t="shared" si="75"/>
        <v>2356</v>
      </c>
      <c r="U97" s="18">
        <f t="shared" si="76"/>
        <v>28274</v>
      </c>
      <c r="V97" s="18">
        <f t="shared" si="77"/>
        <v>300</v>
      </c>
      <c r="W97" s="30">
        <f t="shared" si="78"/>
        <v>2888</v>
      </c>
      <c r="AA97" s="56"/>
    </row>
    <row r="98" spans="1:27" s="1" customFormat="1" ht="21" customHeight="1">
      <c r="A98" s="46" t="s">
        <v>541</v>
      </c>
      <c r="B98" s="18">
        <v>2</v>
      </c>
      <c r="C98" s="18">
        <v>2</v>
      </c>
      <c r="D98" s="18">
        <v>7135</v>
      </c>
      <c r="E98" s="18">
        <f t="shared" si="65"/>
        <v>85620</v>
      </c>
      <c r="F98" s="18">
        <f t="shared" si="66"/>
        <v>3800</v>
      </c>
      <c r="G98" s="18">
        <f t="shared" si="67"/>
        <v>45600</v>
      </c>
      <c r="H98" s="18">
        <v>3</v>
      </c>
      <c r="I98" s="18">
        <v>1</v>
      </c>
      <c r="J98" s="18">
        <v>1635</v>
      </c>
      <c r="K98" s="18">
        <f t="shared" si="68"/>
        <v>19620</v>
      </c>
      <c r="L98" s="18">
        <v>1636</v>
      </c>
      <c r="M98" s="18">
        <f t="shared" si="69"/>
        <v>19632</v>
      </c>
      <c r="N98" s="18">
        <f t="shared" si="70"/>
        <v>22137</v>
      </c>
      <c r="O98" s="18">
        <f t="shared" si="71"/>
        <v>11068</v>
      </c>
      <c r="P98" s="18"/>
      <c r="Q98" s="18">
        <f t="shared" si="72"/>
        <v>656</v>
      </c>
      <c r="R98" s="18">
        <f t="shared" si="73"/>
        <v>10498</v>
      </c>
      <c r="S98" s="18">
        <f t="shared" si="74"/>
        <v>919</v>
      </c>
      <c r="T98" s="18">
        <f t="shared" si="75"/>
        <v>1312</v>
      </c>
      <c r="U98" s="18">
        <f t="shared" si="76"/>
        <v>15746</v>
      </c>
      <c r="V98" s="18">
        <f t="shared" si="77"/>
        <v>225</v>
      </c>
      <c r="W98" s="30">
        <f t="shared" si="78"/>
        <v>2105</v>
      </c>
    </row>
    <row r="99" spans="1:27" s="1" customFormat="1" ht="21" customHeight="1">
      <c r="A99" s="45" t="s">
        <v>542</v>
      </c>
      <c r="B99" s="18">
        <v>5</v>
      </c>
      <c r="C99" s="18">
        <v>5</v>
      </c>
      <c r="D99" s="18">
        <v>13958</v>
      </c>
      <c r="E99" s="18">
        <f t="shared" si="65"/>
        <v>167496</v>
      </c>
      <c r="F99" s="18">
        <f t="shared" si="66"/>
        <v>9500</v>
      </c>
      <c r="G99" s="18">
        <f t="shared" si="67"/>
        <v>114000</v>
      </c>
      <c r="H99" s="18"/>
      <c r="I99" s="18"/>
      <c r="J99" s="18"/>
      <c r="K99" s="18">
        <f t="shared" si="68"/>
        <v>0</v>
      </c>
      <c r="L99" s="18">
        <f t="shared" ref="L99:L109" si="79">1589*I99</f>
        <v>0</v>
      </c>
      <c r="M99" s="18">
        <f t="shared" si="69"/>
        <v>0</v>
      </c>
      <c r="N99" s="18">
        <f t="shared" si="70"/>
        <v>47273</v>
      </c>
      <c r="O99" s="18">
        <f t="shared" si="71"/>
        <v>23636</v>
      </c>
      <c r="P99" s="18"/>
      <c r="Q99" s="18">
        <f t="shared" si="72"/>
        <v>1407</v>
      </c>
      <c r="R99" s="18">
        <f t="shared" si="73"/>
        <v>22520</v>
      </c>
      <c r="S99" s="18">
        <f t="shared" si="74"/>
        <v>1970</v>
      </c>
      <c r="T99" s="18">
        <f t="shared" si="75"/>
        <v>2815</v>
      </c>
      <c r="U99" s="18">
        <f t="shared" si="76"/>
        <v>33780</v>
      </c>
      <c r="V99" s="18">
        <f t="shared" si="77"/>
        <v>375</v>
      </c>
      <c r="W99" s="30">
        <f t="shared" si="78"/>
        <v>3350</v>
      </c>
    </row>
    <row r="100" spans="1:27" s="1" customFormat="1" ht="21" customHeight="1">
      <c r="A100" s="47" t="s">
        <v>544</v>
      </c>
      <c r="B100" s="18">
        <v>2</v>
      </c>
      <c r="C100" s="18">
        <v>2</v>
      </c>
      <c r="D100" s="18">
        <v>5812</v>
      </c>
      <c r="E100" s="18">
        <f t="shared" si="65"/>
        <v>69744</v>
      </c>
      <c r="F100" s="18">
        <f t="shared" si="66"/>
        <v>3800</v>
      </c>
      <c r="G100" s="18">
        <f t="shared" si="67"/>
        <v>45600</v>
      </c>
      <c r="H100" s="18"/>
      <c r="I100" s="18"/>
      <c r="J100" s="18"/>
      <c r="K100" s="18">
        <f t="shared" si="68"/>
        <v>0</v>
      </c>
      <c r="L100" s="18">
        <f t="shared" si="79"/>
        <v>0</v>
      </c>
      <c r="M100" s="18">
        <f t="shared" si="69"/>
        <v>0</v>
      </c>
      <c r="N100" s="18">
        <f t="shared" si="70"/>
        <v>19385</v>
      </c>
      <c r="O100" s="18">
        <f t="shared" si="71"/>
        <v>9692</v>
      </c>
      <c r="P100" s="18"/>
      <c r="Q100" s="18">
        <f t="shared" si="72"/>
        <v>577</v>
      </c>
      <c r="R100" s="18">
        <f t="shared" si="73"/>
        <v>9228</v>
      </c>
      <c r="S100" s="18">
        <f t="shared" si="74"/>
        <v>807</v>
      </c>
      <c r="T100" s="18">
        <f t="shared" si="75"/>
        <v>1153</v>
      </c>
      <c r="U100" s="18">
        <f t="shared" si="76"/>
        <v>13841</v>
      </c>
      <c r="V100" s="18">
        <f t="shared" si="77"/>
        <v>150</v>
      </c>
      <c r="W100" s="30">
        <f t="shared" si="78"/>
        <v>1395</v>
      </c>
    </row>
    <row r="101" spans="1:27" s="1" customFormat="1" ht="21" customHeight="1">
      <c r="A101" s="47" t="s">
        <v>545</v>
      </c>
      <c r="B101" s="18">
        <v>2</v>
      </c>
      <c r="C101" s="18">
        <v>5</v>
      </c>
      <c r="D101" s="18">
        <v>17318</v>
      </c>
      <c r="E101" s="18">
        <f t="shared" si="65"/>
        <v>207816</v>
      </c>
      <c r="F101" s="18">
        <f t="shared" si="66"/>
        <v>9500</v>
      </c>
      <c r="G101" s="18">
        <f t="shared" si="67"/>
        <v>114000</v>
      </c>
      <c r="H101" s="18"/>
      <c r="I101" s="18"/>
      <c r="J101" s="18"/>
      <c r="K101" s="18">
        <f t="shared" si="68"/>
        <v>0</v>
      </c>
      <c r="L101" s="18">
        <f t="shared" si="79"/>
        <v>0</v>
      </c>
      <c r="M101" s="18">
        <f t="shared" si="69"/>
        <v>0</v>
      </c>
      <c r="N101" s="18">
        <f t="shared" si="70"/>
        <v>54261</v>
      </c>
      <c r="O101" s="18">
        <f t="shared" si="71"/>
        <v>27131</v>
      </c>
      <c r="P101" s="18"/>
      <c r="Q101" s="18">
        <f t="shared" si="72"/>
        <v>1609</v>
      </c>
      <c r="R101" s="18">
        <f t="shared" si="73"/>
        <v>25745</v>
      </c>
      <c r="S101" s="18">
        <f t="shared" si="74"/>
        <v>2253</v>
      </c>
      <c r="T101" s="18">
        <f t="shared" si="75"/>
        <v>3218</v>
      </c>
      <c r="U101" s="18">
        <f t="shared" si="76"/>
        <v>38618</v>
      </c>
      <c r="V101" s="18">
        <f t="shared" si="77"/>
        <v>375</v>
      </c>
      <c r="W101" s="30">
        <f t="shared" si="78"/>
        <v>4156</v>
      </c>
    </row>
    <row r="102" spans="1:27" s="1" customFormat="1" ht="21" customHeight="1">
      <c r="A102" s="48" t="s">
        <v>457</v>
      </c>
      <c r="B102" s="18"/>
      <c r="C102" s="18">
        <v>1</v>
      </c>
      <c r="D102" s="18">
        <v>2892</v>
      </c>
      <c r="E102" s="18">
        <f t="shared" si="65"/>
        <v>34704</v>
      </c>
      <c r="F102" s="18">
        <f t="shared" si="66"/>
        <v>1900</v>
      </c>
      <c r="G102" s="18">
        <f t="shared" si="67"/>
        <v>22800</v>
      </c>
      <c r="H102" s="18"/>
      <c r="I102" s="18"/>
      <c r="J102" s="18"/>
      <c r="K102" s="18">
        <f t="shared" si="68"/>
        <v>0</v>
      </c>
      <c r="L102" s="18">
        <f t="shared" si="79"/>
        <v>0</v>
      </c>
      <c r="M102" s="18">
        <f t="shared" si="69"/>
        <v>0</v>
      </c>
      <c r="N102" s="18">
        <f t="shared" si="70"/>
        <v>9663</v>
      </c>
      <c r="O102" s="18">
        <f t="shared" si="71"/>
        <v>4832</v>
      </c>
      <c r="P102" s="18"/>
      <c r="Q102" s="18">
        <f t="shared" si="72"/>
        <v>288</v>
      </c>
      <c r="R102" s="18">
        <f t="shared" si="73"/>
        <v>4600</v>
      </c>
      <c r="S102" s="18">
        <f t="shared" si="74"/>
        <v>403</v>
      </c>
      <c r="T102" s="18">
        <f t="shared" si="75"/>
        <v>575</v>
      </c>
      <c r="U102" s="18">
        <f t="shared" si="76"/>
        <v>6900</v>
      </c>
      <c r="V102" s="18">
        <f t="shared" si="77"/>
        <v>75</v>
      </c>
      <c r="W102" s="30">
        <f t="shared" si="78"/>
        <v>694</v>
      </c>
    </row>
    <row r="103" spans="1:27" s="1" customFormat="1" ht="21" customHeight="1">
      <c r="A103" s="48" t="s">
        <v>546</v>
      </c>
      <c r="B103" s="18"/>
      <c r="C103" s="18">
        <v>3</v>
      </c>
      <c r="D103" s="18">
        <v>9374</v>
      </c>
      <c r="E103" s="18">
        <f t="shared" si="65"/>
        <v>112488</v>
      </c>
      <c r="F103" s="18">
        <f t="shared" si="66"/>
        <v>5700</v>
      </c>
      <c r="G103" s="18">
        <f t="shared" si="67"/>
        <v>68400</v>
      </c>
      <c r="H103" s="18"/>
      <c r="I103" s="18"/>
      <c r="J103" s="18"/>
      <c r="K103" s="18">
        <f t="shared" si="68"/>
        <v>0</v>
      </c>
      <c r="L103" s="18">
        <f t="shared" si="79"/>
        <v>0</v>
      </c>
      <c r="M103" s="18">
        <f t="shared" si="69"/>
        <v>0</v>
      </c>
      <c r="N103" s="18">
        <f t="shared" si="70"/>
        <v>30442</v>
      </c>
      <c r="O103" s="18">
        <f t="shared" si="71"/>
        <v>15221</v>
      </c>
      <c r="P103" s="18"/>
      <c r="Q103" s="18">
        <f t="shared" si="72"/>
        <v>904</v>
      </c>
      <c r="R103" s="18">
        <f t="shared" si="73"/>
        <v>14471</v>
      </c>
      <c r="S103" s="18">
        <f t="shared" si="74"/>
        <v>1266</v>
      </c>
      <c r="T103" s="18">
        <f t="shared" si="75"/>
        <v>1809</v>
      </c>
      <c r="U103" s="18">
        <f t="shared" si="76"/>
        <v>21707</v>
      </c>
      <c r="V103" s="18">
        <f t="shared" si="77"/>
        <v>225</v>
      </c>
      <c r="W103" s="30">
        <f t="shared" si="78"/>
        <v>2250</v>
      </c>
    </row>
    <row r="104" spans="1:27" s="1" customFormat="1" ht="21" customHeight="1">
      <c r="A104" s="47" t="s">
        <v>547</v>
      </c>
      <c r="B104" s="18">
        <v>3</v>
      </c>
      <c r="C104" s="18">
        <v>3</v>
      </c>
      <c r="D104" s="18">
        <v>8480</v>
      </c>
      <c r="E104" s="18">
        <f t="shared" si="65"/>
        <v>101760</v>
      </c>
      <c r="F104" s="18">
        <f t="shared" si="66"/>
        <v>5700</v>
      </c>
      <c r="G104" s="18">
        <f t="shared" si="67"/>
        <v>68400</v>
      </c>
      <c r="H104" s="18"/>
      <c r="I104" s="18"/>
      <c r="J104" s="18"/>
      <c r="K104" s="18">
        <f t="shared" si="68"/>
        <v>0</v>
      </c>
      <c r="L104" s="18">
        <f t="shared" si="79"/>
        <v>0</v>
      </c>
      <c r="M104" s="18">
        <f t="shared" si="69"/>
        <v>0</v>
      </c>
      <c r="N104" s="18">
        <f t="shared" si="70"/>
        <v>28582</v>
      </c>
      <c r="O104" s="18">
        <f t="shared" si="71"/>
        <v>14291</v>
      </c>
      <c r="P104" s="18"/>
      <c r="Q104" s="18">
        <f t="shared" si="72"/>
        <v>851</v>
      </c>
      <c r="R104" s="18">
        <f t="shared" si="73"/>
        <v>13613</v>
      </c>
      <c r="S104" s="18">
        <f t="shared" si="74"/>
        <v>1191</v>
      </c>
      <c r="T104" s="18">
        <f t="shared" si="75"/>
        <v>1702</v>
      </c>
      <c r="U104" s="18">
        <f t="shared" si="76"/>
        <v>20419</v>
      </c>
      <c r="V104" s="18">
        <f t="shared" si="77"/>
        <v>225</v>
      </c>
      <c r="W104" s="30">
        <f t="shared" si="78"/>
        <v>2035</v>
      </c>
    </row>
    <row r="105" spans="1:27" s="1" customFormat="1" ht="21" customHeight="1">
      <c r="A105" s="48" t="s">
        <v>472</v>
      </c>
      <c r="B105" s="18">
        <v>3</v>
      </c>
      <c r="C105" s="18">
        <v>3</v>
      </c>
      <c r="D105" s="18">
        <v>7977</v>
      </c>
      <c r="E105" s="18">
        <f t="shared" si="65"/>
        <v>95724</v>
      </c>
      <c r="F105" s="18">
        <f t="shared" si="66"/>
        <v>5700</v>
      </c>
      <c r="G105" s="18">
        <f t="shared" si="67"/>
        <v>68400</v>
      </c>
      <c r="H105" s="18"/>
      <c r="I105" s="18"/>
      <c r="J105" s="18"/>
      <c r="K105" s="18">
        <f t="shared" si="68"/>
        <v>0</v>
      </c>
      <c r="L105" s="18">
        <f t="shared" si="79"/>
        <v>0</v>
      </c>
      <c r="M105" s="18">
        <f t="shared" si="69"/>
        <v>0</v>
      </c>
      <c r="N105" s="18">
        <f t="shared" si="70"/>
        <v>27536</v>
      </c>
      <c r="O105" s="18">
        <f t="shared" si="71"/>
        <v>13768</v>
      </c>
      <c r="P105" s="18"/>
      <c r="Q105" s="18">
        <f t="shared" si="72"/>
        <v>821</v>
      </c>
      <c r="R105" s="18">
        <f t="shared" si="73"/>
        <v>13130</v>
      </c>
      <c r="S105" s="18">
        <f t="shared" si="74"/>
        <v>1149</v>
      </c>
      <c r="T105" s="18">
        <f t="shared" si="75"/>
        <v>1641</v>
      </c>
      <c r="U105" s="18">
        <f t="shared" si="76"/>
        <v>19695</v>
      </c>
      <c r="V105" s="18">
        <f t="shared" si="77"/>
        <v>225</v>
      </c>
      <c r="W105" s="30">
        <f t="shared" si="78"/>
        <v>1914</v>
      </c>
    </row>
    <row r="106" spans="1:27" s="1" customFormat="1" ht="21" customHeight="1">
      <c r="A106" s="48" t="s">
        <v>548</v>
      </c>
      <c r="B106" s="18">
        <v>2</v>
      </c>
      <c r="C106" s="18">
        <v>2</v>
      </c>
      <c r="D106" s="18">
        <v>5950</v>
      </c>
      <c r="E106" s="18">
        <f t="shared" si="65"/>
        <v>71400</v>
      </c>
      <c r="F106" s="18">
        <f t="shared" si="66"/>
        <v>3800</v>
      </c>
      <c r="G106" s="18">
        <f t="shared" si="67"/>
        <v>45600</v>
      </c>
      <c r="H106" s="18"/>
      <c r="I106" s="18"/>
      <c r="J106" s="18"/>
      <c r="K106" s="18">
        <f t="shared" si="68"/>
        <v>0</v>
      </c>
      <c r="L106" s="18">
        <f t="shared" si="79"/>
        <v>0</v>
      </c>
      <c r="M106" s="18">
        <f t="shared" si="69"/>
        <v>0</v>
      </c>
      <c r="N106" s="18">
        <f t="shared" si="70"/>
        <v>19672</v>
      </c>
      <c r="O106" s="18">
        <f t="shared" si="71"/>
        <v>9836</v>
      </c>
      <c r="P106" s="18"/>
      <c r="Q106" s="18">
        <f t="shared" si="72"/>
        <v>585</v>
      </c>
      <c r="R106" s="18">
        <f t="shared" si="73"/>
        <v>9360</v>
      </c>
      <c r="S106" s="18">
        <f t="shared" si="74"/>
        <v>819</v>
      </c>
      <c r="T106" s="18">
        <f t="shared" si="75"/>
        <v>1170</v>
      </c>
      <c r="U106" s="18">
        <f t="shared" si="76"/>
        <v>14040</v>
      </c>
      <c r="V106" s="18">
        <f t="shared" si="77"/>
        <v>150</v>
      </c>
      <c r="W106" s="30">
        <f t="shared" si="78"/>
        <v>1428</v>
      </c>
    </row>
    <row r="107" spans="1:27" s="1" customFormat="1" ht="21" customHeight="1">
      <c r="A107" s="48" t="s">
        <v>549</v>
      </c>
      <c r="B107" s="18">
        <v>1</v>
      </c>
      <c r="C107" s="18">
        <v>1</v>
      </c>
      <c r="D107" s="18">
        <v>2760</v>
      </c>
      <c r="E107" s="18">
        <f t="shared" si="65"/>
        <v>33120</v>
      </c>
      <c r="F107" s="18">
        <f t="shared" si="66"/>
        <v>1900</v>
      </c>
      <c r="G107" s="18">
        <f t="shared" si="67"/>
        <v>22800</v>
      </c>
      <c r="H107" s="18"/>
      <c r="I107" s="18"/>
      <c r="J107" s="18"/>
      <c r="K107" s="18">
        <f t="shared" si="68"/>
        <v>0</v>
      </c>
      <c r="L107" s="18">
        <f t="shared" si="79"/>
        <v>0</v>
      </c>
      <c r="M107" s="18">
        <f t="shared" si="69"/>
        <v>0</v>
      </c>
      <c r="N107" s="18">
        <f t="shared" si="70"/>
        <v>9389</v>
      </c>
      <c r="O107" s="18">
        <f t="shared" si="71"/>
        <v>4694</v>
      </c>
      <c r="P107" s="18"/>
      <c r="Q107" s="18">
        <f t="shared" si="72"/>
        <v>280</v>
      </c>
      <c r="R107" s="18">
        <f t="shared" si="73"/>
        <v>4474</v>
      </c>
      <c r="S107" s="18">
        <f t="shared" si="74"/>
        <v>391</v>
      </c>
      <c r="T107" s="18">
        <f t="shared" si="75"/>
        <v>559</v>
      </c>
      <c r="U107" s="18">
        <f t="shared" si="76"/>
        <v>6710</v>
      </c>
      <c r="V107" s="18">
        <f t="shared" si="77"/>
        <v>75</v>
      </c>
      <c r="W107" s="30">
        <f t="shared" si="78"/>
        <v>662</v>
      </c>
    </row>
    <row r="108" spans="1:27" s="1" customFormat="1" ht="21" customHeight="1">
      <c r="A108" s="48" t="s">
        <v>550</v>
      </c>
      <c r="B108" s="18"/>
      <c r="C108" s="18">
        <v>2</v>
      </c>
      <c r="D108" s="18">
        <v>5142</v>
      </c>
      <c r="E108" s="18">
        <f t="shared" si="65"/>
        <v>61704</v>
      </c>
      <c r="F108" s="18">
        <f t="shared" si="66"/>
        <v>3800</v>
      </c>
      <c r="G108" s="18">
        <f t="shared" si="67"/>
        <v>45600</v>
      </c>
      <c r="H108" s="18"/>
      <c r="I108" s="18"/>
      <c r="J108" s="18"/>
      <c r="K108" s="18">
        <f t="shared" si="68"/>
        <v>0</v>
      </c>
      <c r="L108" s="18">
        <f t="shared" si="79"/>
        <v>0</v>
      </c>
      <c r="M108" s="18">
        <f t="shared" si="69"/>
        <v>0</v>
      </c>
      <c r="N108" s="18">
        <f t="shared" si="70"/>
        <v>17991</v>
      </c>
      <c r="O108" s="18">
        <f t="shared" si="71"/>
        <v>8996</v>
      </c>
      <c r="P108" s="18"/>
      <c r="Q108" s="18">
        <f t="shared" si="72"/>
        <v>537</v>
      </c>
      <c r="R108" s="18">
        <f t="shared" si="73"/>
        <v>8584</v>
      </c>
      <c r="S108" s="18">
        <f t="shared" si="74"/>
        <v>751</v>
      </c>
      <c r="T108" s="18">
        <f t="shared" si="75"/>
        <v>1073</v>
      </c>
      <c r="U108" s="18">
        <f t="shared" si="76"/>
        <v>12876</v>
      </c>
      <c r="V108" s="18">
        <f t="shared" si="77"/>
        <v>150</v>
      </c>
      <c r="W108" s="30">
        <f t="shared" si="78"/>
        <v>1234</v>
      </c>
    </row>
    <row r="109" spans="1:27" s="3" customFormat="1" ht="21" customHeight="1">
      <c r="A109" s="49" t="s">
        <v>551</v>
      </c>
      <c r="B109" s="50"/>
      <c r="C109" s="50">
        <v>4</v>
      </c>
      <c r="D109" s="50">
        <v>11986</v>
      </c>
      <c r="E109" s="50">
        <f t="shared" si="65"/>
        <v>143832</v>
      </c>
      <c r="F109" s="50">
        <f t="shared" si="66"/>
        <v>7600</v>
      </c>
      <c r="G109" s="50">
        <f t="shared" si="67"/>
        <v>91200</v>
      </c>
      <c r="H109" s="50"/>
      <c r="I109" s="50"/>
      <c r="J109" s="50"/>
      <c r="K109" s="50">
        <f t="shared" si="68"/>
        <v>0</v>
      </c>
      <c r="L109" s="18">
        <f t="shared" si="79"/>
        <v>0</v>
      </c>
      <c r="M109" s="50">
        <f t="shared" si="69"/>
        <v>0</v>
      </c>
      <c r="N109" s="18">
        <f t="shared" si="70"/>
        <v>39523</v>
      </c>
      <c r="O109" s="18">
        <f t="shared" si="71"/>
        <v>19761</v>
      </c>
      <c r="P109" s="50"/>
      <c r="Q109" s="50">
        <f t="shared" si="72"/>
        <v>1175</v>
      </c>
      <c r="R109" s="50">
        <f t="shared" si="73"/>
        <v>18803</v>
      </c>
      <c r="S109" s="18">
        <f t="shared" si="74"/>
        <v>1645</v>
      </c>
      <c r="T109" s="18">
        <f t="shared" si="75"/>
        <v>2350</v>
      </c>
      <c r="U109" s="50">
        <f t="shared" si="76"/>
        <v>28204</v>
      </c>
      <c r="V109" s="18">
        <f t="shared" si="77"/>
        <v>300</v>
      </c>
      <c r="W109" s="55">
        <f t="shared" si="78"/>
        <v>2877</v>
      </c>
    </row>
    <row r="110" spans="1:27" s="1" customFormat="1" ht="21" customHeight="1">
      <c r="A110" s="47" t="s">
        <v>552</v>
      </c>
      <c r="B110" s="18">
        <v>1</v>
      </c>
      <c r="C110" s="18">
        <v>2</v>
      </c>
      <c r="D110" s="18">
        <v>5580</v>
      </c>
      <c r="E110" s="18">
        <f t="shared" si="65"/>
        <v>66960</v>
      </c>
      <c r="F110" s="18">
        <f t="shared" si="66"/>
        <v>3800</v>
      </c>
      <c r="G110" s="18">
        <f t="shared" si="67"/>
        <v>45600</v>
      </c>
      <c r="H110" s="18"/>
      <c r="I110" s="18">
        <v>2</v>
      </c>
      <c r="J110" s="18">
        <v>4706</v>
      </c>
      <c r="K110" s="18">
        <f t="shared" si="68"/>
        <v>56472</v>
      </c>
      <c r="L110" s="18">
        <v>3406</v>
      </c>
      <c r="M110" s="18">
        <f t="shared" si="69"/>
        <v>40872</v>
      </c>
      <c r="N110" s="18">
        <f t="shared" si="70"/>
        <v>18902</v>
      </c>
      <c r="O110" s="18">
        <f t="shared" si="71"/>
        <v>9451</v>
      </c>
      <c r="P110" s="18"/>
      <c r="Q110" s="18">
        <f t="shared" si="72"/>
        <v>563</v>
      </c>
      <c r="R110" s="18">
        <f t="shared" si="73"/>
        <v>9005</v>
      </c>
      <c r="S110" s="18">
        <f t="shared" si="74"/>
        <v>788</v>
      </c>
      <c r="T110" s="18">
        <f t="shared" si="75"/>
        <v>1126</v>
      </c>
      <c r="U110" s="18">
        <f t="shared" si="76"/>
        <v>13507</v>
      </c>
      <c r="V110" s="18">
        <f t="shared" si="77"/>
        <v>300</v>
      </c>
      <c r="W110" s="30">
        <f t="shared" si="78"/>
        <v>2469</v>
      </c>
    </row>
    <row r="111" spans="1:27" s="1" customFormat="1" ht="21" customHeight="1">
      <c r="A111" s="47" t="s">
        <v>553</v>
      </c>
      <c r="B111" s="18"/>
      <c r="C111" s="18"/>
      <c r="D111" s="18"/>
      <c r="E111" s="18">
        <f t="shared" si="65"/>
        <v>0</v>
      </c>
      <c r="F111" s="18">
        <f t="shared" si="66"/>
        <v>0</v>
      </c>
      <c r="G111" s="18">
        <f t="shared" si="67"/>
        <v>0</v>
      </c>
      <c r="H111" s="18"/>
      <c r="I111" s="18"/>
      <c r="J111" s="18"/>
      <c r="K111" s="18">
        <f t="shared" si="68"/>
        <v>0</v>
      </c>
      <c r="L111" s="18">
        <f>1589*I111</f>
        <v>0</v>
      </c>
      <c r="M111" s="18">
        <f t="shared" si="69"/>
        <v>0</v>
      </c>
      <c r="N111" s="18">
        <f t="shared" si="70"/>
        <v>0</v>
      </c>
      <c r="O111" s="18">
        <f t="shared" si="71"/>
        <v>0</v>
      </c>
      <c r="P111" s="18"/>
      <c r="Q111" s="18">
        <f t="shared" si="72"/>
        <v>0</v>
      </c>
      <c r="R111" s="18">
        <f t="shared" si="73"/>
        <v>0</v>
      </c>
      <c r="S111" s="18">
        <f t="shared" si="74"/>
        <v>0</v>
      </c>
      <c r="T111" s="18">
        <f t="shared" si="75"/>
        <v>0</v>
      </c>
      <c r="U111" s="18">
        <f t="shared" si="76"/>
        <v>0</v>
      </c>
      <c r="V111" s="18">
        <f t="shared" si="77"/>
        <v>0</v>
      </c>
      <c r="W111" s="30">
        <f t="shared" si="78"/>
        <v>0</v>
      </c>
    </row>
    <row r="112" spans="1:27" s="1" customFormat="1" ht="21" customHeight="1">
      <c r="A112" s="47" t="s">
        <v>554</v>
      </c>
      <c r="B112" s="18">
        <v>3</v>
      </c>
      <c r="C112" s="18">
        <v>3</v>
      </c>
      <c r="D112" s="18">
        <v>9664</v>
      </c>
      <c r="E112" s="18">
        <f t="shared" si="65"/>
        <v>115968</v>
      </c>
      <c r="F112" s="18">
        <f t="shared" si="66"/>
        <v>5700</v>
      </c>
      <c r="G112" s="18">
        <f t="shared" si="67"/>
        <v>68400</v>
      </c>
      <c r="H112" s="18"/>
      <c r="I112" s="18"/>
      <c r="J112" s="18"/>
      <c r="K112" s="18">
        <f t="shared" si="68"/>
        <v>0</v>
      </c>
      <c r="L112" s="18">
        <f>1589*I112</f>
        <v>0</v>
      </c>
      <c r="M112" s="18">
        <f t="shared" si="69"/>
        <v>0</v>
      </c>
      <c r="N112" s="18">
        <f t="shared" si="70"/>
        <v>31045</v>
      </c>
      <c r="O112" s="18">
        <f t="shared" si="71"/>
        <v>15523</v>
      </c>
      <c r="P112" s="18"/>
      <c r="Q112" s="18">
        <f t="shared" si="72"/>
        <v>922</v>
      </c>
      <c r="R112" s="18">
        <f t="shared" si="73"/>
        <v>14749</v>
      </c>
      <c r="S112" s="18">
        <f t="shared" si="74"/>
        <v>1291</v>
      </c>
      <c r="T112" s="18">
        <f t="shared" si="75"/>
        <v>1844</v>
      </c>
      <c r="U112" s="18">
        <f t="shared" si="76"/>
        <v>22124</v>
      </c>
      <c r="V112" s="18">
        <f t="shared" si="77"/>
        <v>225</v>
      </c>
      <c r="W112" s="30">
        <f t="shared" si="78"/>
        <v>2319</v>
      </c>
    </row>
    <row r="113" spans="1:23" s="1" customFormat="1" ht="21" customHeight="1">
      <c r="A113" s="47" t="s">
        <v>555</v>
      </c>
      <c r="B113" s="18">
        <v>2</v>
      </c>
      <c r="C113" s="18">
        <v>2</v>
      </c>
      <c r="D113" s="18">
        <v>5566</v>
      </c>
      <c r="E113" s="18">
        <f t="shared" si="65"/>
        <v>66792</v>
      </c>
      <c r="F113" s="18">
        <f t="shared" si="66"/>
        <v>3800</v>
      </c>
      <c r="G113" s="18">
        <f t="shared" si="67"/>
        <v>45600</v>
      </c>
      <c r="H113" s="18"/>
      <c r="I113" s="18"/>
      <c r="J113" s="18"/>
      <c r="K113" s="18">
        <f t="shared" si="68"/>
        <v>0</v>
      </c>
      <c r="L113" s="18">
        <f>1589*I113</f>
        <v>0</v>
      </c>
      <c r="M113" s="18">
        <f t="shared" si="69"/>
        <v>0</v>
      </c>
      <c r="N113" s="18">
        <f t="shared" si="70"/>
        <v>18873</v>
      </c>
      <c r="O113" s="18">
        <f t="shared" si="71"/>
        <v>9437</v>
      </c>
      <c r="P113" s="18"/>
      <c r="Q113" s="18">
        <f t="shared" si="72"/>
        <v>562</v>
      </c>
      <c r="R113" s="18">
        <f t="shared" si="73"/>
        <v>8991</v>
      </c>
      <c r="S113" s="18">
        <f t="shared" si="74"/>
        <v>787</v>
      </c>
      <c r="T113" s="18">
        <f t="shared" si="75"/>
        <v>1124</v>
      </c>
      <c r="U113" s="18">
        <f t="shared" si="76"/>
        <v>13487</v>
      </c>
      <c r="V113" s="18">
        <f t="shared" si="77"/>
        <v>150</v>
      </c>
      <c r="W113" s="30">
        <f t="shared" si="78"/>
        <v>1336</v>
      </c>
    </row>
    <row r="114" spans="1:23" s="1" customFormat="1" ht="21" customHeight="1">
      <c r="A114" s="47" t="s">
        <v>556</v>
      </c>
      <c r="B114" s="18">
        <v>12</v>
      </c>
      <c r="C114" s="18">
        <v>12</v>
      </c>
      <c r="D114" s="18">
        <v>37430</v>
      </c>
      <c r="E114" s="18">
        <f t="shared" si="65"/>
        <v>449160</v>
      </c>
      <c r="F114" s="18">
        <f t="shared" si="66"/>
        <v>22800</v>
      </c>
      <c r="G114" s="18">
        <f t="shared" si="67"/>
        <v>273600</v>
      </c>
      <c r="H114" s="18">
        <v>1</v>
      </c>
      <c r="I114" s="18">
        <v>1</v>
      </c>
      <c r="J114" s="18">
        <v>1620</v>
      </c>
      <c r="K114" s="18">
        <f t="shared" si="68"/>
        <v>19440</v>
      </c>
      <c r="L114" s="18">
        <v>1636</v>
      </c>
      <c r="M114" s="18">
        <f t="shared" si="69"/>
        <v>19632</v>
      </c>
      <c r="N114" s="18">
        <f t="shared" si="70"/>
        <v>121630</v>
      </c>
      <c r="O114" s="18">
        <f t="shared" si="71"/>
        <v>60815</v>
      </c>
      <c r="P114" s="18"/>
      <c r="Q114" s="18">
        <f t="shared" si="72"/>
        <v>3614</v>
      </c>
      <c r="R114" s="18">
        <f t="shared" si="73"/>
        <v>57821</v>
      </c>
      <c r="S114" s="18">
        <f t="shared" si="74"/>
        <v>5059</v>
      </c>
      <c r="T114" s="18">
        <f t="shared" si="75"/>
        <v>7228</v>
      </c>
      <c r="U114" s="18">
        <f t="shared" si="76"/>
        <v>86731</v>
      </c>
      <c r="V114" s="18">
        <f t="shared" si="77"/>
        <v>975</v>
      </c>
      <c r="W114" s="30">
        <f t="shared" si="78"/>
        <v>9372</v>
      </c>
    </row>
    <row r="115" spans="1:23" s="1" customFormat="1" ht="21" customHeight="1">
      <c r="A115" s="15" t="s">
        <v>557</v>
      </c>
      <c r="B115" s="16">
        <v>4</v>
      </c>
      <c r="C115" s="16">
        <v>6</v>
      </c>
      <c r="D115" s="17">
        <v>18028</v>
      </c>
      <c r="E115" s="18">
        <f t="shared" si="65"/>
        <v>216336</v>
      </c>
      <c r="F115" s="18">
        <f t="shared" si="66"/>
        <v>11400</v>
      </c>
      <c r="G115" s="18">
        <f t="shared" si="67"/>
        <v>136800</v>
      </c>
      <c r="H115" s="19"/>
      <c r="I115" s="19"/>
      <c r="J115" s="29"/>
      <c r="K115" s="30">
        <f t="shared" si="68"/>
        <v>0</v>
      </c>
      <c r="L115" s="18">
        <f t="shared" ref="L115:L130" si="80">1589*I115</f>
        <v>0</v>
      </c>
      <c r="M115" s="18">
        <f t="shared" si="69"/>
        <v>0</v>
      </c>
      <c r="N115" s="18">
        <f t="shared" si="70"/>
        <v>59386</v>
      </c>
      <c r="O115" s="18">
        <f t="shared" si="71"/>
        <v>29693</v>
      </c>
      <c r="P115" s="18"/>
      <c r="Q115" s="18">
        <f t="shared" si="72"/>
        <v>1766</v>
      </c>
      <c r="R115" s="18">
        <f t="shared" si="73"/>
        <v>28251</v>
      </c>
      <c r="S115" s="18">
        <f t="shared" si="74"/>
        <v>2472</v>
      </c>
      <c r="T115" s="18">
        <f t="shared" si="75"/>
        <v>3531</v>
      </c>
      <c r="U115" s="18">
        <f t="shared" si="76"/>
        <v>42376</v>
      </c>
      <c r="V115" s="18">
        <f t="shared" si="77"/>
        <v>450</v>
      </c>
      <c r="W115" s="30">
        <f t="shared" si="78"/>
        <v>4327</v>
      </c>
    </row>
    <row r="116" spans="1:23" s="1" customFormat="1" ht="21" customHeight="1">
      <c r="A116" s="51" t="s">
        <v>558</v>
      </c>
      <c r="B116" s="18">
        <v>15</v>
      </c>
      <c r="C116" s="18">
        <v>16</v>
      </c>
      <c r="D116" s="18">
        <v>80293</v>
      </c>
      <c r="E116" s="18">
        <f t="shared" si="65"/>
        <v>963516</v>
      </c>
      <c r="F116" s="18">
        <f t="shared" si="66"/>
        <v>30400</v>
      </c>
      <c r="G116" s="18">
        <f t="shared" si="67"/>
        <v>364800</v>
      </c>
      <c r="H116" s="18">
        <v>17</v>
      </c>
      <c r="I116" s="18">
        <v>16</v>
      </c>
      <c r="J116" s="18">
        <v>50784</v>
      </c>
      <c r="K116" s="18">
        <f t="shared" si="68"/>
        <v>609408</v>
      </c>
      <c r="L116" s="18">
        <f t="shared" si="80"/>
        <v>25424</v>
      </c>
      <c r="M116" s="18">
        <f t="shared" si="69"/>
        <v>305088</v>
      </c>
      <c r="N116" s="18">
        <f t="shared" si="70"/>
        <v>225377</v>
      </c>
      <c r="O116" s="18">
        <f t="shared" si="71"/>
        <v>112689</v>
      </c>
      <c r="P116" s="18"/>
      <c r="Q116" s="18">
        <f t="shared" si="72"/>
        <v>6642</v>
      </c>
      <c r="R116" s="18">
        <f t="shared" si="73"/>
        <v>106265</v>
      </c>
      <c r="S116" s="18">
        <f t="shared" si="74"/>
        <v>9298</v>
      </c>
      <c r="T116" s="18">
        <f t="shared" si="75"/>
        <v>13283</v>
      </c>
      <c r="U116" s="18">
        <f t="shared" si="76"/>
        <v>159398</v>
      </c>
      <c r="V116" s="18">
        <f t="shared" si="77"/>
        <v>2400</v>
      </c>
      <c r="W116" s="30">
        <f t="shared" si="78"/>
        <v>31458</v>
      </c>
    </row>
    <row r="117" spans="1:23" s="1" customFormat="1" ht="21" customHeight="1">
      <c r="A117" s="52" t="s">
        <v>559</v>
      </c>
      <c r="B117" s="18">
        <v>2</v>
      </c>
      <c r="C117" s="18">
        <v>2</v>
      </c>
      <c r="D117" s="18">
        <v>5800</v>
      </c>
      <c r="E117" s="18">
        <f t="shared" si="65"/>
        <v>69600</v>
      </c>
      <c r="F117" s="18">
        <f t="shared" si="66"/>
        <v>3800</v>
      </c>
      <c r="G117" s="18">
        <f t="shared" si="67"/>
        <v>45600</v>
      </c>
      <c r="H117" s="18"/>
      <c r="I117" s="18"/>
      <c r="J117" s="18"/>
      <c r="K117" s="18">
        <f t="shared" si="68"/>
        <v>0</v>
      </c>
      <c r="L117" s="18">
        <f t="shared" si="80"/>
        <v>0</v>
      </c>
      <c r="M117" s="18">
        <f t="shared" si="69"/>
        <v>0</v>
      </c>
      <c r="N117" s="18">
        <f t="shared" si="70"/>
        <v>19360</v>
      </c>
      <c r="O117" s="18">
        <f t="shared" si="71"/>
        <v>9680</v>
      </c>
      <c r="P117" s="18"/>
      <c r="Q117" s="18">
        <f t="shared" si="72"/>
        <v>576</v>
      </c>
      <c r="R117" s="18">
        <f t="shared" si="73"/>
        <v>9216</v>
      </c>
      <c r="S117" s="18">
        <f t="shared" si="74"/>
        <v>806</v>
      </c>
      <c r="T117" s="18">
        <f t="shared" si="75"/>
        <v>1152</v>
      </c>
      <c r="U117" s="18">
        <f t="shared" si="76"/>
        <v>13824</v>
      </c>
      <c r="V117" s="18">
        <f t="shared" si="77"/>
        <v>150</v>
      </c>
      <c r="W117" s="30">
        <f t="shared" si="78"/>
        <v>1392</v>
      </c>
    </row>
    <row r="118" spans="1:23" s="1" customFormat="1" ht="21" customHeight="1">
      <c r="A118" s="53" t="s">
        <v>560</v>
      </c>
      <c r="B118" s="18">
        <v>5</v>
      </c>
      <c r="C118" s="18">
        <v>5</v>
      </c>
      <c r="D118" s="18">
        <v>16530</v>
      </c>
      <c r="E118" s="18">
        <f t="shared" si="65"/>
        <v>198360</v>
      </c>
      <c r="F118" s="18">
        <f t="shared" si="66"/>
        <v>9500</v>
      </c>
      <c r="G118" s="18">
        <f t="shared" si="67"/>
        <v>114000</v>
      </c>
      <c r="H118" s="18">
        <v>3</v>
      </c>
      <c r="I118" s="18">
        <v>3</v>
      </c>
      <c r="J118" s="18">
        <v>7356</v>
      </c>
      <c r="K118" s="18">
        <f t="shared" si="68"/>
        <v>88272</v>
      </c>
      <c r="L118" s="18">
        <f t="shared" si="80"/>
        <v>4767</v>
      </c>
      <c r="M118" s="18">
        <f t="shared" si="69"/>
        <v>57204</v>
      </c>
      <c r="N118" s="18">
        <f t="shared" si="70"/>
        <v>52622</v>
      </c>
      <c r="O118" s="18">
        <f t="shared" si="71"/>
        <v>26311</v>
      </c>
      <c r="P118" s="18"/>
      <c r="Q118" s="18">
        <f t="shared" si="72"/>
        <v>1562</v>
      </c>
      <c r="R118" s="18">
        <f t="shared" si="73"/>
        <v>24989</v>
      </c>
      <c r="S118" s="18">
        <f t="shared" si="74"/>
        <v>2187</v>
      </c>
      <c r="T118" s="18">
        <f t="shared" si="75"/>
        <v>3124</v>
      </c>
      <c r="U118" s="18">
        <f t="shared" si="76"/>
        <v>37483</v>
      </c>
      <c r="V118" s="18">
        <f t="shared" si="77"/>
        <v>600</v>
      </c>
      <c r="W118" s="30">
        <f t="shared" si="78"/>
        <v>5733</v>
      </c>
    </row>
    <row r="119" spans="1:23" ht="21" customHeight="1">
      <c r="A119" s="53" t="s">
        <v>561</v>
      </c>
      <c r="B119" s="18">
        <v>2</v>
      </c>
      <c r="C119" s="18">
        <v>2</v>
      </c>
      <c r="D119" s="18">
        <v>5574</v>
      </c>
      <c r="E119" s="18">
        <f t="shared" si="65"/>
        <v>66888</v>
      </c>
      <c r="F119" s="18">
        <f t="shared" si="66"/>
        <v>3800</v>
      </c>
      <c r="G119" s="18">
        <f t="shared" si="67"/>
        <v>45600</v>
      </c>
      <c r="H119" s="18">
        <v>1</v>
      </c>
      <c r="I119" s="18">
        <v>1</v>
      </c>
      <c r="J119" s="30">
        <v>1340</v>
      </c>
      <c r="K119" s="30">
        <f t="shared" si="68"/>
        <v>16080</v>
      </c>
      <c r="L119" s="18">
        <v>1703</v>
      </c>
      <c r="M119" s="30">
        <f t="shared" si="69"/>
        <v>20436</v>
      </c>
      <c r="N119" s="18">
        <f t="shared" si="70"/>
        <v>18890</v>
      </c>
      <c r="O119" s="18">
        <f t="shared" si="71"/>
        <v>9445</v>
      </c>
      <c r="P119" s="18"/>
      <c r="Q119" s="18">
        <f t="shared" si="72"/>
        <v>562</v>
      </c>
      <c r="R119" s="18">
        <f t="shared" si="73"/>
        <v>8999</v>
      </c>
      <c r="S119" s="18">
        <f t="shared" si="74"/>
        <v>787</v>
      </c>
      <c r="T119" s="18">
        <f t="shared" si="75"/>
        <v>1125</v>
      </c>
      <c r="U119" s="18">
        <f t="shared" si="76"/>
        <v>13499</v>
      </c>
      <c r="V119" s="18">
        <f t="shared" si="77"/>
        <v>225</v>
      </c>
      <c r="W119" s="30">
        <f t="shared" si="78"/>
        <v>1659</v>
      </c>
    </row>
    <row r="120" spans="1:23" ht="21" customHeight="1">
      <c r="A120" s="53" t="s">
        <v>562</v>
      </c>
      <c r="B120" s="18">
        <v>10</v>
      </c>
      <c r="C120" s="18">
        <v>20</v>
      </c>
      <c r="D120" s="18">
        <v>50809</v>
      </c>
      <c r="E120" s="18">
        <f t="shared" si="65"/>
        <v>609708</v>
      </c>
      <c r="F120" s="18">
        <f t="shared" si="66"/>
        <v>38000</v>
      </c>
      <c r="G120" s="18">
        <f t="shared" si="67"/>
        <v>456000</v>
      </c>
      <c r="H120" s="18">
        <v>15</v>
      </c>
      <c r="I120" s="18">
        <v>10</v>
      </c>
      <c r="J120" s="30">
        <v>30911</v>
      </c>
      <c r="K120" s="30">
        <f t="shared" si="68"/>
        <v>370932</v>
      </c>
      <c r="L120" s="18">
        <v>25545</v>
      </c>
      <c r="M120" s="30">
        <f t="shared" si="69"/>
        <v>306540</v>
      </c>
      <c r="N120" s="18">
        <f t="shared" si="70"/>
        <v>178643</v>
      </c>
      <c r="O120" s="18">
        <f t="shared" si="71"/>
        <v>89321</v>
      </c>
      <c r="P120" s="18"/>
      <c r="Q120" s="18">
        <f t="shared" si="72"/>
        <v>5329</v>
      </c>
      <c r="R120" s="18">
        <f t="shared" si="73"/>
        <v>85257</v>
      </c>
      <c r="S120" s="18">
        <f t="shared" si="74"/>
        <v>7460</v>
      </c>
      <c r="T120" s="18">
        <f t="shared" si="75"/>
        <v>10657</v>
      </c>
      <c r="U120" s="18">
        <f t="shared" si="76"/>
        <v>127885</v>
      </c>
      <c r="V120" s="18">
        <f t="shared" si="77"/>
        <v>2250</v>
      </c>
      <c r="W120" s="30">
        <f t="shared" si="78"/>
        <v>19613</v>
      </c>
    </row>
    <row r="121" spans="1:23" ht="21" customHeight="1">
      <c r="A121" s="53" t="s">
        <v>563</v>
      </c>
      <c r="B121" s="18">
        <v>3</v>
      </c>
      <c r="C121" s="18">
        <v>3</v>
      </c>
      <c r="D121" s="18">
        <v>8764</v>
      </c>
      <c r="E121" s="18">
        <f t="shared" si="65"/>
        <v>105168</v>
      </c>
      <c r="F121" s="18">
        <f t="shared" si="66"/>
        <v>5700</v>
      </c>
      <c r="G121" s="18">
        <f t="shared" si="67"/>
        <v>68400</v>
      </c>
      <c r="H121" s="18">
        <v>1</v>
      </c>
      <c r="I121" s="18"/>
      <c r="J121" s="30"/>
      <c r="K121" s="18">
        <f t="shared" ref="K121:K130" si="81">J121*12</f>
        <v>0</v>
      </c>
      <c r="L121" s="18">
        <f t="shared" si="80"/>
        <v>0</v>
      </c>
      <c r="M121" s="18">
        <f t="shared" si="69"/>
        <v>0</v>
      </c>
      <c r="N121" s="18">
        <f t="shared" si="70"/>
        <v>29173</v>
      </c>
      <c r="O121" s="18">
        <f t="shared" si="71"/>
        <v>14587</v>
      </c>
      <c r="P121" s="18"/>
      <c r="Q121" s="18">
        <f t="shared" si="72"/>
        <v>868</v>
      </c>
      <c r="R121" s="18">
        <f t="shared" si="73"/>
        <v>13885</v>
      </c>
      <c r="S121" s="18">
        <f t="shared" si="74"/>
        <v>1215</v>
      </c>
      <c r="T121" s="18">
        <f t="shared" si="75"/>
        <v>1736</v>
      </c>
      <c r="U121" s="18">
        <f t="shared" si="76"/>
        <v>20828</v>
      </c>
      <c r="V121" s="18">
        <f t="shared" si="77"/>
        <v>225</v>
      </c>
      <c r="W121" s="30">
        <f t="shared" si="78"/>
        <v>2103</v>
      </c>
    </row>
    <row r="122" spans="1:23" ht="24" customHeight="1">
      <c r="A122" s="53" t="s">
        <v>564</v>
      </c>
      <c r="B122" s="18">
        <v>4</v>
      </c>
      <c r="C122" s="18">
        <v>4</v>
      </c>
      <c r="D122" s="18">
        <v>9746</v>
      </c>
      <c r="E122" s="18">
        <f t="shared" si="65"/>
        <v>116952</v>
      </c>
      <c r="F122" s="18">
        <f t="shared" si="66"/>
        <v>7600</v>
      </c>
      <c r="G122" s="18">
        <f t="shared" si="67"/>
        <v>91200</v>
      </c>
      <c r="H122" s="18"/>
      <c r="I122" s="18"/>
      <c r="J122" s="30"/>
      <c r="K122" s="18">
        <f t="shared" si="81"/>
        <v>0</v>
      </c>
      <c r="L122" s="18">
        <f t="shared" si="80"/>
        <v>0</v>
      </c>
      <c r="M122" s="18">
        <f t="shared" si="69"/>
        <v>0</v>
      </c>
      <c r="N122" s="18">
        <f t="shared" si="70"/>
        <v>34864</v>
      </c>
      <c r="O122" s="18">
        <f t="shared" si="71"/>
        <v>17432</v>
      </c>
      <c r="P122" s="18"/>
      <c r="Q122" s="18">
        <f t="shared" si="72"/>
        <v>1041</v>
      </c>
      <c r="R122" s="18">
        <f t="shared" si="73"/>
        <v>16652</v>
      </c>
      <c r="S122" s="18">
        <f t="shared" si="74"/>
        <v>1457</v>
      </c>
      <c r="T122" s="18">
        <f t="shared" si="75"/>
        <v>2082</v>
      </c>
      <c r="U122" s="18">
        <f t="shared" si="76"/>
        <v>24978</v>
      </c>
      <c r="V122" s="18">
        <f t="shared" si="77"/>
        <v>300</v>
      </c>
      <c r="W122" s="30">
        <f t="shared" si="78"/>
        <v>2339</v>
      </c>
    </row>
    <row r="123" spans="1:23" ht="24" customHeight="1">
      <c r="A123" s="53" t="s">
        <v>509</v>
      </c>
      <c r="B123" s="18">
        <v>3</v>
      </c>
      <c r="C123" s="18">
        <v>3</v>
      </c>
      <c r="D123" s="18">
        <v>6478</v>
      </c>
      <c r="E123" s="18">
        <f t="shared" si="65"/>
        <v>77736</v>
      </c>
      <c r="F123" s="18">
        <f t="shared" si="66"/>
        <v>5700</v>
      </c>
      <c r="G123" s="18">
        <f t="shared" si="67"/>
        <v>68400</v>
      </c>
      <c r="H123" s="18"/>
      <c r="I123" s="18"/>
      <c r="J123" s="30"/>
      <c r="K123" s="18">
        <f t="shared" si="81"/>
        <v>0</v>
      </c>
      <c r="L123" s="18">
        <f t="shared" si="80"/>
        <v>0</v>
      </c>
      <c r="M123" s="18">
        <f t="shared" si="69"/>
        <v>0</v>
      </c>
      <c r="N123" s="18">
        <f t="shared" si="70"/>
        <v>24418</v>
      </c>
      <c r="O123" s="18">
        <f t="shared" si="71"/>
        <v>12209</v>
      </c>
      <c r="P123" s="18"/>
      <c r="Q123" s="18">
        <f t="shared" si="72"/>
        <v>731</v>
      </c>
      <c r="R123" s="18">
        <f t="shared" si="73"/>
        <v>11691</v>
      </c>
      <c r="S123" s="18">
        <f t="shared" si="74"/>
        <v>1023</v>
      </c>
      <c r="T123" s="18">
        <f t="shared" si="75"/>
        <v>1461</v>
      </c>
      <c r="U123" s="18">
        <f t="shared" si="76"/>
        <v>17536</v>
      </c>
      <c r="V123" s="18">
        <f t="shared" si="77"/>
        <v>225</v>
      </c>
      <c r="W123" s="30">
        <f t="shared" si="78"/>
        <v>1555</v>
      </c>
    </row>
    <row r="124" spans="1:23" ht="21" customHeight="1">
      <c r="A124" s="15" t="s">
        <v>565</v>
      </c>
      <c r="B124" s="18">
        <v>9</v>
      </c>
      <c r="C124" s="18">
        <v>3</v>
      </c>
      <c r="D124" s="18">
        <v>10358</v>
      </c>
      <c r="E124" s="18">
        <f t="shared" si="65"/>
        <v>124296</v>
      </c>
      <c r="F124" s="18">
        <f t="shared" si="66"/>
        <v>5700</v>
      </c>
      <c r="G124" s="18">
        <f t="shared" si="67"/>
        <v>68400</v>
      </c>
      <c r="H124" s="18">
        <v>3</v>
      </c>
      <c r="I124" s="18"/>
      <c r="J124" s="30"/>
      <c r="K124" s="18">
        <f t="shared" si="81"/>
        <v>0</v>
      </c>
      <c r="L124" s="18">
        <f t="shared" si="80"/>
        <v>0</v>
      </c>
      <c r="M124" s="18">
        <f t="shared" si="69"/>
        <v>0</v>
      </c>
      <c r="N124" s="18">
        <f t="shared" si="70"/>
        <v>32489</v>
      </c>
      <c r="O124" s="18">
        <f t="shared" si="71"/>
        <v>16244</v>
      </c>
      <c r="P124" s="18"/>
      <c r="Q124" s="18">
        <f t="shared" si="72"/>
        <v>963</v>
      </c>
      <c r="R124" s="18">
        <f t="shared" si="73"/>
        <v>15416</v>
      </c>
      <c r="S124" s="18">
        <f t="shared" si="74"/>
        <v>1349</v>
      </c>
      <c r="T124" s="18">
        <f t="shared" si="75"/>
        <v>1927</v>
      </c>
      <c r="U124" s="18">
        <f t="shared" si="76"/>
        <v>23124</v>
      </c>
      <c r="V124" s="18">
        <f t="shared" si="77"/>
        <v>225</v>
      </c>
      <c r="W124" s="30">
        <f t="shared" si="78"/>
        <v>2486</v>
      </c>
    </row>
    <row r="125" spans="1:23" ht="21" customHeight="1">
      <c r="A125" s="15" t="s">
        <v>566</v>
      </c>
      <c r="B125" s="18">
        <v>13</v>
      </c>
      <c r="C125" s="18">
        <v>5</v>
      </c>
      <c r="D125" s="18">
        <v>13439</v>
      </c>
      <c r="E125" s="18">
        <f t="shared" si="65"/>
        <v>161268</v>
      </c>
      <c r="F125" s="18">
        <f t="shared" si="66"/>
        <v>9500</v>
      </c>
      <c r="G125" s="18">
        <f t="shared" si="67"/>
        <v>114000</v>
      </c>
      <c r="H125" s="33">
        <v>12</v>
      </c>
      <c r="I125" s="33">
        <v>3</v>
      </c>
      <c r="J125" s="30">
        <v>5970</v>
      </c>
      <c r="K125" s="18">
        <f t="shared" si="81"/>
        <v>71640</v>
      </c>
      <c r="L125" s="18">
        <f t="shared" si="80"/>
        <v>4767</v>
      </c>
      <c r="M125" s="18">
        <f t="shared" si="69"/>
        <v>57204</v>
      </c>
      <c r="N125" s="18">
        <f t="shared" si="70"/>
        <v>46193</v>
      </c>
      <c r="O125" s="18">
        <f t="shared" si="71"/>
        <v>23097</v>
      </c>
      <c r="P125" s="18"/>
      <c r="Q125" s="18">
        <f t="shared" si="72"/>
        <v>1376</v>
      </c>
      <c r="R125" s="18">
        <f t="shared" si="73"/>
        <v>22021</v>
      </c>
      <c r="S125" s="18">
        <f t="shared" si="74"/>
        <v>1927</v>
      </c>
      <c r="T125" s="18">
        <f t="shared" si="75"/>
        <v>2753</v>
      </c>
      <c r="U125" s="18">
        <f t="shared" si="76"/>
        <v>33032</v>
      </c>
      <c r="V125" s="18">
        <f t="shared" si="77"/>
        <v>600</v>
      </c>
      <c r="W125" s="30">
        <f t="shared" si="78"/>
        <v>4658</v>
      </c>
    </row>
    <row r="126" spans="1:23" s="1" customFormat="1" ht="21" customHeight="1">
      <c r="A126" s="45" t="s">
        <v>567</v>
      </c>
      <c r="B126" s="18">
        <v>18</v>
      </c>
      <c r="C126" s="18">
        <v>17</v>
      </c>
      <c r="D126" s="18">
        <v>48755</v>
      </c>
      <c r="E126" s="18">
        <f t="shared" si="65"/>
        <v>585060</v>
      </c>
      <c r="F126" s="18">
        <f t="shared" si="66"/>
        <v>32300</v>
      </c>
      <c r="G126" s="18">
        <f t="shared" si="67"/>
        <v>387600</v>
      </c>
      <c r="H126" s="18">
        <v>23</v>
      </c>
      <c r="I126" s="18">
        <v>24</v>
      </c>
      <c r="J126" s="18">
        <v>48857</v>
      </c>
      <c r="K126" s="18">
        <f t="shared" si="81"/>
        <v>586284</v>
      </c>
      <c r="L126" s="18">
        <f t="shared" si="80"/>
        <v>38136</v>
      </c>
      <c r="M126" s="18">
        <f t="shared" si="69"/>
        <v>457632</v>
      </c>
      <c r="N126" s="18">
        <f t="shared" si="70"/>
        <v>163426</v>
      </c>
      <c r="O126" s="18">
        <f t="shared" si="71"/>
        <v>81713</v>
      </c>
      <c r="P126" s="18"/>
      <c r="Q126" s="18">
        <f t="shared" si="72"/>
        <v>4863</v>
      </c>
      <c r="R126" s="18">
        <f t="shared" si="73"/>
        <v>77813</v>
      </c>
      <c r="S126" s="18">
        <f t="shared" si="74"/>
        <v>6809</v>
      </c>
      <c r="T126" s="18">
        <f t="shared" si="75"/>
        <v>9727</v>
      </c>
      <c r="U126" s="18">
        <f t="shared" si="76"/>
        <v>116719</v>
      </c>
      <c r="V126" s="18">
        <f t="shared" si="77"/>
        <v>3075</v>
      </c>
      <c r="W126" s="30">
        <f t="shared" si="78"/>
        <v>23427</v>
      </c>
    </row>
    <row r="127" spans="1:23" ht="21" customHeight="1">
      <c r="A127" s="15" t="s">
        <v>568</v>
      </c>
      <c r="B127" s="18">
        <v>4</v>
      </c>
      <c r="C127" s="18"/>
      <c r="D127" s="18"/>
      <c r="E127" s="18">
        <f t="shared" si="65"/>
        <v>0</v>
      </c>
      <c r="F127" s="18">
        <f t="shared" si="66"/>
        <v>0</v>
      </c>
      <c r="G127" s="18">
        <f t="shared" si="67"/>
        <v>0</v>
      </c>
      <c r="H127" s="33">
        <v>4</v>
      </c>
      <c r="I127" s="33"/>
      <c r="J127" s="30"/>
      <c r="K127" s="18">
        <f t="shared" si="81"/>
        <v>0</v>
      </c>
      <c r="L127" s="18">
        <f t="shared" si="80"/>
        <v>0</v>
      </c>
      <c r="M127" s="18">
        <f t="shared" si="69"/>
        <v>0</v>
      </c>
      <c r="N127" s="18">
        <f t="shared" si="70"/>
        <v>0</v>
      </c>
      <c r="O127" s="18">
        <f t="shared" si="71"/>
        <v>0</v>
      </c>
      <c r="P127" s="18"/>
      <c r="Q127" s="18">
        <f t="shared" si="72"/>
        <v>0</v>
      </c>
      <c r="R127" s="18">
        <f>ROUND((E126+G126)*0.08,0)</f>
        <v>77813</v>
      </c>
      <c r="S127" s="18">
        <f t="shared" si="74"/>
        <v>0</v>
      </c>
      <c r="T127" s="18">
        <f t="shared" si="75"/>
        <v>0</v>
      </c>
      <c r="U127" s="18">
        <f t="shared" si="76"/>
        <v>0</v>
      </c>
      <c r="V127" s="18">
        <f t="shared" si="77"/>
        <v>0</v>
      </c>
      <c r="W127" s="30">
        <f t="shared" si="78"/>
        <v>0</v>
      </c>
    </row>
    <row r="128" spans="1:23" ht="21" customHeight="1">
      <c r="A128" s="15" t="s">
        <v>569</v>
      </c>
      <c r="B128" s="18">
        <v>1</v>
      </c>
      <c r="C128" s="18">
        <v>1</v>
      </c>
      <c r="D128" s="18">
        <v>2699</v>
      </c>
      <c r="E128" s="18">
        <f t="shared" si="65"/>
        <v>32388</v>
      </c>
      <c r="F128" s="18">
        <f t="shared" si="66"/>
        <v>1900</v>
      </c>
      <c r="G128" s="18">
        <f t="shared" si="67"/>
        <v>22800</v>
      </c>
      <c r="H128" s="18"/>
      <c r="I128" s="18"/>
      <c r="J128" s="30"/>
      <c r="K128" s="18">
        <f t="shared" si="81"/>
        <v>0</v>
      </c>
      <c r="L128" s="18">
        <f t="shared" si="80"/>
        <v>0</v>
      </c>
      <c r="M128" s="18">
        <f t="shared" si="69"/>
        <v>0</v>
      </c>
      <c r="N128" s="18">
        <f t="shared" si="70"/>
        <v>9262</v>
      </c>
      <c r="O128" s="18">
        <f t="shared" si="71"/>
        <v>4631</v>
      </c>
      <c r="P128" s="18"/>
      <c r="Q128" s="18">
        <f t="shared" si="72"/>
        <v>276</v>
      </c>
      <c r="R128" s="18">
        <f>ROUND((E128+G128)*0.08,0)</f>
        <v>4415</v>
      </c>
      <c r="S128" s="18">
        <f t="shared" si="74"/>
        <v>386</v>
      </c>
      <c r="T128" s="18">
        <f t="shared" si="75"/>
        <v>552</v>
      </c>
      <c r="U128" s="18">
        <f t="shared" si="76"/>
        <v>6623</v>
      </c>
      <c r="V128" s="18">
        <f t="shared" si="77"/>
        <v>75</v>
      </c>
      <c r="W128" s="30">
        <f t="shared" si="78"/>
        <v>648</v>
      </c>
    </row>
    <row r="129" spans="1:27" s="1" customFormat="1" ht="21" customHeight="1">
      <c r="A129" s="45" t="s">
        <v>570</v>
      </c>
      <c r="B129" s="18">
        <v>5</v>
      </c>
      <c r="C129" s="18">
        <v>5</v>
      </c>
      <c r="D129" s="18">
        <v>14512</v>
      </c>
      <c r="E129" s="18">
        <f t="shared" si="65"/>
        <v>174144</v>
      </c>
      <c r="F129" s="18">
        <f t="shared" si="66"/>
        <v>9500</v>
      </c>
      <c r="G129" s="18">
        <f t="shared" si="67"/>
        <v>114000</v>
      </c>
      <c r="H129" s="18">
        <v>3</v>
      </c>
      <c r="I129" s="18">
        <v>3</v>
      </c>
      <c r="J129" s="18">
        <v>6073</v>
      </c>
      <c r="K129" s="18">
        <f t="shared" si="81"/>
        <v>72876</v>
      </c>
      <c r="L129" s="18">
        <f t="shared" si="80"/>
        <v>4767</v>
      </c>
      <c r="M129" s="18">
        <f t="shared" si="69"/>
        <v>57204</v>
      </c>
      <c r="N129" s="18">
        <f t="shared" si="70"/>
        <v>48425</v>
      </c>
      <c r="O129" s="18">
        <f t="shared" si="71"/>
        <v>24212</v>
      </c>
      <c r="P129" s="18"/>
      <c r="Q129" s="18">
        <f t="shared" si="72"/>
        <v>1441</v>
      </c>
      <c r="R129" s="18">
        <f>ROUND((E129+G129)*0.08,0)</f>
        <v>23052</v>
      </c>
      <c r="S129" s="18">
        <f t="shared" si="74"/>
        <v>2017</v>
      </c>
      <c r="T129" s="18">
        <f t="shared" si="75"/>
        <v>2881</v>
      </c>
      <c r="U129" s="18">
        <f t="shared" si="76"/>
        <v>34577</v>
      </c>
      <c r="V129" s="18">
        <f t="shared" si="77"/>
        <v>600</v>
      </c>
      <c r="W129" s="30">
        <f t="shared" si="78"/>
        <v>4940</v>
      </c>
      <c r="AA129" s="56"/>
    </row>
    <row r="130" spans="1:27" s="4" customFormat="1" ht="21" customHeight="1">
      <c r="A130" s="57" t="s">
        <v>571</v>
      </c>
      <c r="B130" s="58">
        <v>38</v>
      </c>
      <c r="C130" s="58">
        <v>35</v>
      </c>
      <c r="D130" s="58">
        <v>98862</v>
      </c>
      <c r="E130" s="58">
        <f t="shared" si="65"/>
        <v>1186344</v>
      </c>
      <c r="F130" s="18">
        <f t="shared" si="66"/>
        <v>66500</v>
      </c>
      <c r="G130" s="58">
        <f t="shared" si="67"/>
        <v>798000</v>
      </c>
      <c r="H130" s="18">
        <v>4</v>
      </c>
      <c r="I130" s="18">
        <v>5</v>
      </c>
      <c r="J130" s="18">
        <v>9189.3700000000008</v>
      </c>
      <c r="K130" s="18">
        <f t="shared" si="81"/>
        <v>110272.44</v>
      </c>
      <c r="L130" s="18">
        <f t="shared" si="80"/>
        <v>7945</v>
      </c>
      <c r="M130" s="18">
        <f t="shared" si="69"/>
        <v>95340</v>
      </c>
      <c r="N130" s="18">
        <f t="shared" si="70"/>
        <v>333313</v>
      </c>
      <c r="O130" s="18">
        <f t="shared" si="71"/>
        <v>166656</v>
      </c>
      <c r="P130" s="18"/>
      <c r="Q130" s="18">
        <f t="shared" si="72"/>
        <v>9922</v>
      </c>
      <c r="R130" s="18">
        <f>ROUND((E130+G130+K130+M130)*0.08,0)</f>
        <v>175197</v>
      </c>
      <c r="S130" s="18">
        <f t="shared" si="74"/>
        <v>13890</v>
      </c>
      <c r="T130" s="18">
        <f t="shared" si="75"/>
        <v>19843</v>
      </c>
      <c r="U130" s="18">
        <f t="shared" si="76"/>
        <v>238121</v>
      </c>
      <c r="V130" s="18">
        <f t="shared" si="77"/>
        <v>3000</v>
      </c>
      <c r="W130" s="30">
        <f t="shared" si="78"/>
        <v>25932</v>
      </c>
      <c r="X130" s="4">
        <f>C84+C130</f>
        <v>972</v>
      </c>
      <c r="Y130" s="4">
        <f>I84+I130</f>
        <v>229</v>
      </c>
    </row>
    <row r="131" spans="1:27" s="1" customFormat="1" ht="21" customHeight="1">
      <c r="A131" s="59" t="s">
        <v>572</v>
      </c>
      <c r="B131" s="20">
        <f t="shared" ref="B131:W131" si="82">SUM(B95:B130)</f>
        <v>218</v>
      </c>
      <c r="C131" s="20">
        <f t="shared" si="82"/>
        <v>219</v>
      </c>
      <c r="D131" s="20">
        <f t="shared" si="82"/>
        <v>663166</v>
      </c>
      <c r="E131" s="20">
        <f t="shared" si="82"/>
        <v>7957992</v>
      </c>
      <c r="F131" s="20">
        <f t="shared" si="82"/>
        <v>416100</v>
      </c>
      <c r="G131" s="20">
        <f t="shared" si="82"/>
        <v>4993200</v>
      </c>
      <c r="H131" s="20">
        <f t="shared" si="82"/>
        <v>91</v>
      </c>
      <c r="I131" s="20">
        <f t="shared" si="82"/>
        <v>69</v>
      </c>
      <c r="J131" s="20">
        <f t="shared" si="82"/>
        <v>168441.37</v>
      </c>
      <c r="K131" s="20">
        <f t="shared" si="82"/>
        <v>2021296.44</v>
      </c>
      <c r="L131" s="20">
        <f t="shared" si="82"/>
        <v>119732</v>
      </c>
      <c r="M131" s="20">
        <f t="shared" si="82"/>
        <v>1436784</v>
      </c>
      <c r="N131" s="20">
        <f t="shared" si="82"/>
        <v>2178295</v>
      </c>
      <c r="O131" s="20">
        <f t="shared" si="82"/>
        <v>1089146</v>
      </c>
      <c r="P131" s="20">
        <f t="shared" si="82"/>
        <v>0</v>
      </c>
      <c r="Q131" s="20">
        <f t="shared" si="82"/>
        <v>64758</v>
      </c>
      <c r="R131" s="20">
        <f t="shared" si="82"/>
        <v>1130360</v>
      </c>
      <c r="S131" s="20">
        <f t="shared" si="82"/>
        <v>90657</v>
      </c>
      <c r="T131" s="20">
        <f t="shared" si="82"/>
        <v>129512</v>
      </c>
      <c r="U131" s="20">
        <f t="shared" si="82"/>
        <v>1554141</v>
      </c>
      <c r="V131" s="20">
        <f t="shared" si="82"/>
        <v>21600</v>
      </c>
      <c r="W131" s="20">
        <f t="shared" si="82"/>
        <v>199584</v>
      </c>
    </row>
    <row r="132" spans="1:27" s="1" customFormat="1" ht="21" customHeight="1">
      <c r="A132" s="60" t="s">
        <v>573</v>
      </c>
      <c r="B132" s="18">
        <v>3</v>
      </c>
      <c r="C132" s="18">
        <v>3</v>
      </c>
      <c r="D132" s="18"/>
      <c r="E132" s="18">
        <f>30000*C132</f>
        <v>90000</v>
      </c>
      <c r="F132" s="18">
        <f>1900*C132*0.75</f>
        <v>4275</v>
      </c>
      <c r="G132" s="18">
        <f>F132*12</f>
        <v>51300</v>
      </c>
      <c r="H132" s="21"/>
      <c r="I132" s="21"/>
      <c r="J132" s="21"/>
      <c r="K132" s="21"/>
      <c r="L132" s="21"/>
      <c r="M132" s="21"/>
      <c r="N132" s="18">
        <f>ROUND((E132+G132)*0.16+D132*0.16,0)</f>
        <v>22608</v>
      </c>
      <c r="O132" s="18">
        <f>ROUND((E132+G132)*0.08+D132*0.08,0)</f>
        <v>11304</v>
      </c>
      <c r="P132" s="21"/>
      <c r="Q132" s="18">
        <f>ROUND((E132+G132)*0.005,0)</f>
        <v>707</v>
      </c>
      <c r="R132" s="18">
        <f>ROUND((E132+G132+K132+M132)*0.08,0)</f>
        <v>11304</v>
      </c>
      <c r="S132" s="18">
        <f>ROUND((E132+G132)*0.007,0)</f>
        <v>989</v>
      </c>
      <c r="T132" s="18">
        <f>ROUND((E132+G132)*0.01,0)</f>
        <v>1413</v>
      </c>
      <c r="U132" s="18">
        <f>ROUND((E132+G132)*0.12,0)</f>
        <v>16956</v>
      </c>
      <c r="V132" s="18">
        <f>ROUND((C132+I132)*75,0)</f>
        <v>225</v>
      </c>
      <c r="W132" s="30"/>
    </row>
    <row r="133" spans="1:27" ht="21" customHeight="1">
      <c r="A133" s="42" t="s">
        <v>574</v>
      </c>
      <c r="B133" s="18">
        <v>29</v>
      </c>
      <c r="C133" s="18">
        <v>29</v>
      </c>
      <c r="D133" s="18"/>
      <c r="E133" s="18">
        <f>30000*C133</f>
        <v>870000</v>
      </c>
      <c r="F133" s="18">
        <f>22800/12*0.4*C133</f>
        <v>22040</v>
      </c>
      <c r="G133" s="18">
        <f>F133*12</f>
        <v>264480</v>
      </c>
      <c r="H133" s="18"/>
      <c r="I133" s="18"/>
      <c r="J133" s="18"/>
      <c r="K133" s="18"/>
      <c r="L133" s="18"/>
      <c r="M133" s="18">
        <f>L133*12</f>
        <v>0</v>
      </c>
      <c r="N133" s="18">
        <f>ROUND((E133+G133)*0.16+D133*0.16,0)</f>
        <v>181517</v>
      </c>
      <c r="O133" s="18">
        <f>ROUND((E133+G133)*0.08+D133*0.08,0)</f>
        <v>90758</v>
      </c>
      <c r="P133" s="18"/>
      <c r="Q133" s="18">
        <f>ROUND((E133+G133)*0.005,0)</f>
        <v>5672</v>
      </c>
      <c r="R133" s="18">
        <f>ROUND((E133+G133)*0.08,0)</f>
        <v>90758</v>
      </c>
      <c r="S133" s="18">
        <f>ROUND((E133+G133)*0.007,0)</f>
        <v>7941</v>
      </c>
      <c r="T133" s="18">
        <f>ROUND((E133+G133)*0.01,0)</f>
        <v>11345</v>
      </c>
      <c r="U133" s="18">
        <f>ROUND((E133+G133)*0.12,0)</f>
        <v>136138</v>
      </c>
      <c r="V133" s="18">
        <f>ROUND((C133+I133)*75,0)</f>
        <v>2175</v>
      </c>
      <c r="W133" s="30"/>
    </row>
    <row r="134" spans="1:27" ht="21" customHeight="1">
      <c r="A134" s="42" t="s">
        <v>575</v>
      </c>
      <c r="B134" s="18">
        <v>5</v>
      </c>
      <c r="C134" s="18">
        <v>5</v>
      </c>
      <c r="D134" s="18"/>
      <c r="E134" s="18">
        <f>C134*30000</f>
        <v>150000</v>
      </c>
      <c r="F134" s="18">
        <f>1900*C134*0.75</f>
        <v>7125</v>
      </c>
      <c r="G134" s="18">
        <f>F134*12</f>
        <v>85500</v>
      </c>
      <c r="H134" s="18"/>
      <c r="I134" s="18"/>
      <c r="J134" s="18"/>
      <c r="K134" s="18"/>
      <c r="L134" s="18"/>
      <c r="M134" s="18"/>
      <c r="N134" s="18">
        <f>ROUND((E134+G134)*0.16+D134*0.16,0)</f>
        <v>37680</v>
      </c>
      <c r="O134" s="18">
        <f>ROUND((E134+G134)*0.08+D134*0.08,0)</f>
        <v>18840</v>
      </c>
      <c r="P134" s="18"/>
      <c r="Q134" s="18">
        <f>ROUND((E134+G134)*0.005,0)</f>
        <v>1178</v>
      </c>
      <c r="R134" s="18">
        <f>ROUND((E134+G134)*0.08,0)</f>
        <v>18840</v>
      </c>
      <c r="S134" s="18">
        <f>ROUND((E134+G134)*0.007,0)</f>
        <v>1649</v>
      </c>
      <c r="T134" s="18">
        <f>ROUND((E134+G134)*0.01,0)</f>
        <v>2355</v>
      </c>
      <c r="U134" s="18">
        <f>ROUND((E134+G134)*0.12,0)</f>
        <v>28260</v>
      </c>
      <c r="V134" s="18">
        <f>ROUND((C134+I134)*75,0)</f>
        <v>375</v>
      </c>
      <c r="W134" s="30"/>
    </row>
    <row r="135" spans="1:27" ht="21" customHeight="1">
      <c r="A135" s="42" t="s">
        <v>576</v>
      </c>
      <c r="B135" s="18">
        <v>11</v>
      </c>
      <c r="C135" s="18">
        <v>11</v>
      </c>
      <c r="D135" s="18"/>
      <c r="E135" s="18">
        <f>30000*C135</f>
        <v>330000</v>
      </c>
      <c r="F135" s="18">
        <f>1900*0.75*C135</f>
        <v>15675</v>
      </c>
      <c r="G135" s="18">
        <f>F135*12</f>
        <v>188100</v>
      </c>
      <c r="H135" s="18">
        <v>10</v>
      </c>
      <c r="I135" s="18">
        <v>10</v>
      </c>
      <c r="J135" s="18"/>
      <c r="K135" s="18"/>
      <c r="L135" s="18">
        <f>1900*0.75*0.75*I135</f>
        <v>10687.5</v>
      </c>
      <c r="M135" s="18">
        <f>L135*12</f>
        <v>128250</v>
      </c>
      <c r="N135" s="18">
        <f>ROUND((E135+G135)*0.16+D135*0.16,0)</f>
        <v>82896</v>
      </c>
      <c r="O135" s="18">
        <f>ROUND((E135+G135)*0.08+D135*0.08,0)</f>
        <v>41448</v>
      </c>
      <c r="P135" s="18"/>
      <c r="Q135" s="18">
        <f>ROUND((E135+G135)*0.005,0)</f>
        <v>2591</v>
      </c>
      <c r="R135" s="18">
        <f>ROUND((E135+G135)*0.08,0)</f>
        <v>41448</v>
      </c>
      <c r="S135" s="18">
        <f>ROUND((E135+G135)*0.007,0)</f>
        <v>3627</v>
      </c>
      <c r="T135" s="18">
        <f>ROUND((E135+G135)*0.01,0)</f>
        <v>5181</v>
      </c>
      <c r="U135" s="18">
        <f>ROUND((E135+G135)*0.12,0)</f>
        <v>62172</v>
      </c>
      <c r="V135" s="18">
        <f>ROUND((C135+I135)*75,0)</f>
        <v>1575</v>
      </c>
      <c r="W135" s="30"/>
    </row>
    <row r="136" spans="1:27" ht="26.1" customHeight="1">
      <c r="A136" s="59" t="s">
        <v>577</v>
      </c>
      <c r="B136" s="20">
        <f t="shared" ref="B136:W136" si="83">SUM(B132:B135)</f>
        <v>48</v>
      </c>
      <c r="C136" s="20">
        <f t="shared" si="83"/>
        <v>48</v>
      </c>
      <c r="D136" s="20">
        <f t="shared" si="83"/>
        <v>0</v>
      </c>
      <c r="E136" s="20">
        <f t="shared" si="83"/>
        <v>1440000</v>
      </c>
      <c r="F136" s="20">
        <f t="shared" si="83"/>
        <v>49115</v>
      </c>
      <c r="G136" s="20">
        <f t="shared" si="83"/>
        <v>589380</v>
      </c>
      <c r="H136" s="20">
        <f t="shared" si="83"/>
        <v>10</v>
      </c>
      <c r="I136" s="20">
        <f t="shared" si="83"/>
        <v>10</v>
      </c>
      <c r="J136" s="20">
        <f t="shared" si="83"/>
        <v>0</v>
      </c>
      <c r="K136" s="20">
        <f t="shared" si="83"/>
        <v>0</v>
      </c>
      <c r="L136" s="20">
        <f t="shared" si="83"/>
        <v>10687.5</v>
      </c>
      <c r="M136" s="20">
        <f t="shared" si="83"/>
        <v>128250</v>
      </c>
      <c r="N136" s="20">
        <f t="shared" si="83"/>
        <v>324701</v>
      </c>
      <c r="O136" s="20">
        <f t="shared" si="83"/>
        <v>162350</v>
      </c>
      <c r="P136" s="20">
        <f t="shared" si="83"/>
        <v>0</v>
      </c>
      <c r="Q136" s="20">
        <f t="shared" si="83"/>
        <v>10148</v>
      </c>
      <c r="R136" s="20">
        <f t="shared" si="83"/>
        <v>162350</v>
      </c>
      <c r="S136" s="20">
        <f t="shared" si="83"/>
        <v>14206</v>
      </c>
      <c r="T136" s="20">
        <f t="shared" si="83"/>
        <v>20294</v>
      </c>
      <c r="U136" s="20">
        <f t="shared" si="83"/>
        <v>243526</v>
      </c>
      <c r="V136" s="20">
        <f t="shared" si="83"/>
        <v>4350</v>
      </c>
      <c r="W136" s="20">
        <f t="shared" si="83"/>
        <v>0</v>
      </c>
    </row>
    <row r="137" spans="1:27" customFormat="1" ht="18.95" customHeight="1">
      <c r="A137" s="59" t="s">
        <v>578</v>
      </c>
      <c r="B137" s="20">
        <v>57</v>
      </c>
      <c r="C137" s="20">
        <v>57</v>
      </c>
      <c r="D137" s="61">
        <v>159300</v>
      </c>
      <c r="E137" s="11">
        <f>D137*12</f>
        <v>1911600</v>
      </c>
      <c r="F137" s="20"/>
      <c r="G137" s="20"/>
      <c r="H137" s="20"/>
      <c r="I137" s="20"/>
      <c r="J137" s="20"/>
      <c r="K137" s="20"/>
      <c r="L137" s="20"/>
      <c r="M137" s="20"/>
      <c r="N137" s="63">
        <f>ROUND((E137+G137)*0.16+D137*0.16,0)</f>
        <v>331344</v>
      </c>
      <c r="O137" s="63">
        <f>ROUND((E137+G137)*0.08+D137*0.08,0)</f>
        <v>165672</v>
      </c>
      <c r="P137" s="63"/>
      <c r="Q137" s="63">
        <f>ROUND((E137+G137)*0.005,0)</f>
        <v>9558</v>
      </c>
      <c r="R137" s="63">
        <f>ROUND((E137+G137)*0.08,0)</f>
        <v>152928</v>
      </c>
      <c r="S137" s="63">
        <f>ROUND((E137+G137)*0.007,0)</f>
        <v>13381</v>
      </c>
      <c r="T137" s="63">
        <f>ROUND((E137+G137)*0.01,0)</f>
        <v>19116</v>
      </c>
      <c r="U137" s="63">
        <f>ROUND((E137+G137)*0.12,0)</f>
        <v>229392</v>
      </c>
      <c r="V137" s="63">
        <f>ROUND((C137+I137)*75,0)</f>
        <v>4275</v>
      </c>
      <c r="W137" s="64"/>
    </row>
    <row r="138" spans="1:27" s="1" customFormat="1" ht="24" customHeight="1">
      <c r="A138" s="11" t="s">
        <v>274</v>
      </c>
      <c r="B138" s="11">
        <f>B86+B88+B92+B94+B131+B136+B137</f>
        <v>3718</v>
      </c>
      <c r="C138" s="11">
        <f t="shared" ref="C138:W138" si="84">C86+C88+C92+C94+C131+C136</f>
        <v>3820</v>
      </c>
      <c r="D138" s="20">
        <f t="shared" si="84"/>
        <v>12505980</v>
      </c>
      <c r="E138" s="20">
        <f t="shared" si="84"/>
        <v>151511760</v>
      </c>
      <c r="F138" s="20">
        <f t="shared" si="84"/>
        <v>7934184</v>
      </c>
      <c r="G138" s="20">
        <f t="shared" si="84"/>
        <v>95233008</v>
      </c>
      <c r="H138" s="11">
        <f t="shared" si="84"/>
        <v>1910</v>
      </c>
      <c r="I138" s="11">
        <f t="shared" si="84"/>
        <v>1944</v>
      </c>
      <c r="J138" s="20">
        <f t="shared" si="84"/>
        <v>5183100.18</v>
      </c>
      <c r="K138" s="20">
        <f t="shared" si="84"/>
        <v>62197202.159999996</v>
      </c>
      <c r="L138" s="20">
        <f t="shared" si="84"/>
        <v>3582926.5</v>
      </c>
      <c r="M138" s="20">
        <f t="shared" si="84"/>
        <v>42995118</v>
      </c>
      <c r="N138" s="20">
        <f t="shared" si="84"/>
        <v>41476470</v>
      </c>
      <c r="O138" s="20">
        <f t="shared" si="84"/>
        <v>20738231</v>
      </c>
      <c r="P138" s="20">
        <f t="shared" si="84"/>
        <v>4603557</v>
      </c>
      <c r="Q138" s="20">
        <f t="shared" si="84"/>
        <v>1233619</v>
      </c>
      <c r="R138" s="20">
        <f t="shared" si="84"/>
        <v>19832016</v>
      </c>
      <c r="S138" s="20">
        <f t="shared" si="84"/>
        <v>967999</v>
      </c>
      <c r="T138" s="20">
        <f t="shared" si="84"/>
        <v>2960446</v>
      </c>
      <c r="U138" s="20">
        <f t="shared" si="84"/>
        <v>29606632</v>
      </c>
      <c r="V138" s="20">
        <f t="shared" si="84"/>
        <v>431925</v>
      </c>
      <c r="W138" s="20">
        <f t="shared" si="84"/>
        <v>4243984</v>
      </c>
    </row>
    <row r="140" spans="1:27">
      <c r="C140" s="62"/>
      <c r="E140" s="5">
        <f>E69+E88+E92+E131+E94</f>
        <v>120192816</v>
      </c>
    </row>
    <row r="141" spans="1:27">
      <c r="E141" s="5">
        <f>D86+D131</f>
        <v>6141891</v>
      </c>
    </row>
  </sheetData>
  <mergeCells count="18">
    <mergeCell ref="C5:G5"/>
    <mergeCell ref="I5:M5"/>
    <mergeCell ref="X93:Z93"/>
    <mergeCell ref="N3:N6"/>
    <mergeCell ref="O3:O6"/>
    <mergeCell ref="P3:P6"/>
    <mergeCell ref="Q3:Q6"/>
    <mergeCell ref="R3:R6"/>
    <mergeCell ref="S3:S6"/>
    <mergeCell ref="T3:T6"/>
    <mergeCell ref="U3:U6"/>
    <mergeCell ref="V3:V6"/>
    <mergeCell ref="W3:W6"/>
    <mergeCell ref="A1:V1"/>
    <mergeCell ref="F2:O2"/>
    <mergeCell ref="B3:M3"/>
    <mergeCell ref="B4:G4"/>
    <mergeCell ref="H4:M4"/>
  </mergeCells>
  <phoneticPr fontId="59" type="noConversion"/>
  <printOptions horizontalCentered="1"/>
  <pageMargins left="0.196527777777778" right="0" top="0" bottom="0" header="0.31458333333333299" footer="0.35416666666666702"/>
  <pageSetup paperSize="8" scale="74" orientation="landscape" horizontalDpi="1200" verticalDpi="1200" r:id="rId1"/>
  <headerFooter scaleWithDoc="0" alignWithMargins="0"/>
  <rowBreaks count="2" manualBreakCount="2">
    <brk id="51" max="26" man="1"/>
    <brk id="93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55"/>
  <sheetViews>
    <sheetView tabSelected="1" workbookViewId="0">
      <pane xSplit="1" ySplit="4" topLeftCell="B5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defaultColWidth="9" defaultRowHeight="14.25"/>
  <cols>
    <col min="1" max="1" width="19.25" style="326" customWidth="1"/>
    <col min="2" max="3" width="11.5" style="5" customWidth="1"/>
    <col min="4" max="4" width="8.625" style="5" customWidth="1"/>
    <col min="5" max="5" width="36.25" style="327" customWidth="1"/>
    <col min="6" max="6" width="30.125" style="5" customWidth="1"/>
    <col min="7" max="8" width="11.875" style="5" customWidth="1"/>
    <col min="9" max="9" width="10.25" style="5" customWidth="1"/>
    <col min="10" max="10" width="37.5" style="5" customWidth="1"/>
    <col min="11" max="255" width="9" style="5" customWidth="1"/>
  </cols>
  <sheetData>
    <row r="1" spans="1:10" ht="19.5" customHeight="1">
      <c r="A1" s="326" t="s">
        <v>0</v>
      </c>
    </row>
    <row r="2" spans="1:10" ht="27" customHeight="1">
      <c r="A2" s="490" t="s">
        <v>579</v>
      </c>
      <c r="B2" s="490"/>
      <c r="C2" s="490"/>
      <c r="D2" s="490"/>
      <c r="E2" s="490"/>
      <c r="F2" s="490"/>
      <c r="G2" s="490"/>
      <c r="H2" s="490"/>
      <c r="I2" s="490"/>
      <c r="J2" s="490"/>
    </row>
    <row r="3" spans="1:10" ht="24.6" customHeight="1">
      <c r="A3" s="328"/>
      <c r="B3" s="329"/>
      <c r="C3" s="329"/>
      <c r="D3" s="329"/>
      <c r="E3" s="398">
        <v>44465</v>
      </c>
      <c r="F3" s="398"/>
      <c r="G3" s="330"/>
      <c r="H3" s="330"/>
      <c r="I3" s="330"/>
      <c r="J3" s="369" t="s">
        <v>2</v>
      </c>
    </row>
    <row r="4" spans="1:10" ht="30" customHeight="1">
      <c r="A4" s="331" t="s">
        <v>3</v>
      </c>
      <c r="B4" s="331" t="s">
        <v>5</v>
      </c>
      <c r="C4" s="331" t="s">
        <v>91</v>
      </c>
      <c r="D4" s="331" t="s">
        <v>6</v>
      </c>
      <c r="E4" s="331" t="s">
        <v>7</v>
      </c>
      <c r="F4" s="332" t="s">
        <v>3</v>
      </c>
      <c r="G4" s="331" t="s">
        <v>5</v>
      </c>
      <c r="H4" s="331" t="s">
        <v>91</v>
      </c>
      <c r="I4" s="331" t="s">
        <v>6</v>
      </c>
      <c r="J4" s="333" t="s">
        <v>7</v>
      </c>
    </row>
    <row r="5" spans="1:10" ht="30" customHeight="1">
      <c r="A5" s="399" t="s">
        <v>8</v>
      </c>
      <c r="B5" s="403">
        <f>B8+B24+B38+B41</f>
        <v>98473</v>
      </c>
      <c r="C5" s="403">
        <f>C8+C24+C38+C41</f>
        <v>115298</v>
      </c>
      <c r="D5" s="405">
        <f t="shared" ref="D5:D11" si="0">C5-B5</f>
        <v>16825</v>
      </c>
      <c r="E5" s="401"/>
      <c r="F5" s="331" t="s">
        <v>9</v>
      </c>
      <c r="G5" s="336">
        <f>95273</f>
        <v>95273</v>
      </c>
      <c r="H5" s="336">
        <f>H6+H33+H40</f>
        <v>111098.3</v>
      </c>
      <c r="I5" s="336">
        <f>H5-G5</f>
        <v>15825.3</v>
      </c>
      <c r="J5" s="338"/>
    </row>
    <row r="6" spans="1:10" ht="30" customHeight="1">
      <c r="A6" s="407"/>
      <c r="B6" s="404"/>
      <c r="C6" s="404"/>
      <c r="D6" s="406"/>
      <c r="E6" s="402"/>
      <c r="F6" s="333" t="s">
        <v>10</v>
      </c>
      <c r="G6" s="336">
        <f>G7+G25+G30</f>
        <v>53537.3</v>
      </c>
      <c r="H6" s="336">
        <f>H7+H25+H30</f>
        <v>53114.3</v>
      </c>
      <c r="I6" s="336">
        <f>I7+I25+I30</f>
        <v>-423</v>
      </c>
      <c r="J6" s="338"/>
    </row>
    <row r="7" spans="1:10" ht="30" customHeight="1">
      <c r="A7" s="407"/>
      <c r="B7" s="404"/>
      <c r="C7" s="404"/>
      <c r="D7" s="406"/>
      <c r="E7" s="402"/>
      <c r="F7" s="339" t="s">
        <v>11</v>
      </c>
      <c r="G7" s="336">
        <f>SUM(G8:G24)</f>
        <v>43782.8</v>
      </c>
      <c r="H7" s="336">
        <f>SUM(H8:H24)</f>
        <v>43359.8</v>
      </c>
      <c r="I7" s="336">
        <f>SUM(I8:I24)</f>
        <v>-423</v>
      </c>
      <c r="J7" s="338"/>
    </row>
    <row r="8" spans="1:10" ht="30" customHeight="1">
      <c r="A8" s="331" t="s">
        <v>12</v>
      </c>
      <c r="B8" s="334">
        <f>SUM(B9:B17)</f>
        <v>39976</v>
      </c>
      <c r="C8" s="334">
        <f>SUM(C9:C17)</f>
        <v>39976</v>
      </c>
      <c r="D8" s="334">
        <f>SUM(D9:D13)</f>
        <v>0</v>
      </c>
      <c r="E8" s="340" t="s">
        <v>92</v>
      </c>
      <c r="F8" s="341" t="s">
        <v>13</v>
      </c>
      <c r="G8" s="342">
        <f>23617-431</f>
        <v>23186</v>
      </c>
      <c r="H8" s="342">
        <v>23522</v>
      </c>
      <c r="I8" s="336">
        <f t="shared" ref="I8:I24" si="1">H8-G8</f>
        <v>336</v>
      </c>
      <c r="J8" s="351" t="s">
        <v>93</v>
      </c>
    </row>
    <row r="9" spans="1:10" ht="30" customHeight="1">
      <c r="A9" s="331" t="s">
        <v>15</v>
      </c>
      <c r="B9" s="343">
        <v>26168</v>
      </c>
      <c r="C9" s="343">
        <v>26168</v>
      </c>
      <c r="D9" s="344">
        <f t="shared" si="0"/>
        <v>0</v>
      </c>
      <c r="F9" s="341" t="s">
        <v>16</v>
      </c>
      <c r="G9" s="342">
        <v>7475</v>
      </c>
      <c r="H9" s="342">
        <v>7475</v>
      </c>
      <c r="I9" s="336">
        <f t="shared" si="1"/>
        <v>0</v>
      </c>
      <c r="J9" s="351"/>
    </row>
    <row r="10" spans="1:10" ht="30" customHeight="1">
      <c r="A10" s="331" t="s">
        <v>94</v>
      </c>
      <c r="B10" s="343">
        <v>2808</v>
      </c>
      <c r="C10" s="343">
        <v>2808</v>
      </c>
      <c r="D10" s="344">
        <f t="shared" si="0"/>
        <v>0</v>
      </c>
      <c r="E10" s="345"/>
      <c r="F10" s="341" t="s">
        <v>19</v>
      </c>
      <c r="G10" s="342">
        <f>2548+40+431</f>
        <v>3019</v>
      </c>
      <c r="H10" s="342">
        <f>2548+40+431</f>
        <v>3019</v>
      </c>
      <c r="I10" s="336">
        <f t="shared" si="1"/>
        <v>0</v>
      </c>
      <c r="J10" s="351"/>
    </row>
    <row r="11" spans="1:10" ht="30" customHeight="1">
      <c r="A11" s="331" t="s">
        <v>95</v>
      </c>
      <c r="B11" s="343">
        <v>11000</v>
      </c>
      <c r="C11" s="343">
        <v>11000</v>
      </c>
      <c r="D11" s="344">
        <f t="shared" si="0"/>
        <v>0</v>
      </c>
      <c r="E11" s="346" t="s">
        <v>96</v>
      </c>
      <c r="F11" s="341" t="s">
        <v>22</v>
      </c>
      <c r="G11" s="342">
        <f>2147+43</f>
        <v>2190</v>
      </c>
      <c r="H11" s="342">
        <f>2147+43</f>
        <v>2190</v>
      </c>
      <c r="I11" s="336">
        <f t="shared" si="1"/>
        <v>0</v>
      </c>
      <c r="J11" s="351"/>
    </row>
    <row r="12" spans="1:10" ht="30" customHeight="1">
      <c r="A12" s="347"/>
      <c r="B12" s="343"/>
      <c r="C12" s="343"/>
      <c r="D12" s="344"/>
      <c r="E12" s="338"/>
      <c r="F12" s="341" t="s">
        <v>24</v>
      </c>
      <c r="G12" s="344">
        <v>425</v>
      </c>
      <c r="H12" s="344">
        <v>425</v>
      </c>
      <c r="I12" s="336">
        <f t="shared" si="1"/>
        <v>0</v>
      </c>
      <c r="J12" s="351"/>
    </row>
    <row r="13" spans="1:10" ht="30" customHeight="1">
      <c r="A13" s="348"/>
      <c r="B13" s="343"/>
      <c r="C13" s="343"/>
      <c r="D13" s="341"/>
      <c r="E13" s="338"/>
      <c r="F13" s="337" t="s">
        <v>26</v>
      </c>
      <c r="G13" s="349">
        <v>581.79999999999995</v>
      </c>
      <c r="H13" s="349">
        <v>581.79999999999995</v>
      </c>
      <c r="I13" s="358">
        <f t="shared" si="1"/>
        <v>0</v>
      </c>
      <c r="J13" s="356"/>
    </row>
    <row r="14" spans="1:10" ht="30" customHeight="1">
      <c r="A14" s="348"/>
      <c r="B14" s="341"/>
      <c r="C14" s="341"/>
      <c r="D14" s="341"/>
      <c r="E14" s="338"/>
      <c r="F14" s="341" t="s">
        <v>28</v>
      </c>
      <c r="G14" s="341">
        <v>2974</v>
      </c>
      <c r="H14" s="341">
        <v>2974</v>
      </c>
      <c r="I14" s="336">
        <f t="shared" si="1"/>
        <v>0</v>
      </c>
      <c r="J14" s="351"/>
    </row>
    <row r="15" spans="1:10" ht="30" customHeight="1">
      <c r="A15" s="348"/>
      <c r="B15" s="341"/>
      <c r="C15" s="341"/>
      <c r="D15" s="341"/>
      <c r="E15" s="338"/>
      <c r="F15" s="337" t="s">
        <v>30</v>
      </c>
      <c r="G15" s="341">
        <v>29</v>
      </c>
      <c r="H15" s="341">
        <v>29</v>
      </c>
      <c r="I15" s="336">
        <f t="shared" si="1"/>
        <v>0</v>
      </c>
      <c r="J15" s="351"/>
    </row>
    <row r="16" spans="1:10" ht="30" customHeight="1">
      <c r="A16" s="348"/>
      <c r="B16" s="341"/>
      <c r="C16" s="341"/>
      <c r="D16" s="341"/>
      <c r="E16" s="338"/>
      <c r="F16" s="341" t="s">
        <v>31</v>
      </c>
      <c r="G16" s="342">
        <v>297</v>
      </c>
      <c r="H16" s="342">
        <v>297</v>
      </c>
      <c r="I16" s="336">
        <f t="shared" si="1"/>
        <v>0</v>
      </c>
      <c r="J16" s="351"/>
    </row>
    <row r="17" spans="1:10" ht="30" customHeight="1">
      <c r="A17" s="348"/>
      <c r="B17" s="341"/>
      <c r="C17" s="341"/>
      <c r="D17" s="341"/>
      <c r="E17" s="338"/>
      <c r="F17" s="341" t="s">
        <v>33</v>
      </c>
      <c r="G17" s="342">
        <v>400</v>
      </c>
      <c r="H17" s="342">
        <v>530</v>
      </c>
      <c r="I17" s="336">
        <f t="shared" si="1"/>
        <v>130</v>
      </c>
      <c r="J17" s="351"/>
    </row>
    <row r="18" spans="1:10" ht="30" customHeight="1">
      <c r="A18" s="350"/>
      <c r="B18" s="341"/>
      <c r="C18" s="341"/>
      <c r="D18" s="341"/>
      <c r="E18" s="338"/>
      <c r="F18" s="341" t="s">
        <v>34</v>
      </c>
      <c r="G18" s="342">
        <v>457</v>
      </c>
      <c r="H18" s="342">
        <v>457</v>
      </c>
      <c r="I18" s="336">
        <f t="shared" si="1"/>
        <v>0</v>
      </c>
      <c r="J18" s="351"/>
    </row>
    <row r="19" spans="1:10" ht="30" customHeight="1">
      <c r="A19" s="350"/>
      <c r="B19" s="341"/>
      <c r="C19" s="341"/>
      <c r="D19" s="341"/>
      <c r="E19" s="338"/>
      <c r="F19" s="341" t="s">
        <v>35</v>
      </c>
      <c r="G19" s="342">
        <v>124</v>
      </c>
      <c r="H19" s="342">
        <v>124</v>
      </c>
      <c r="I19" s="336">
        <f t="shared" si="1"/>
        <v>0</v>
      </c>
      <c r="J19" s="351"/>
    </row>
    <row r="20" spans="1:10" ht="30" customHeight="1">
      <c r="A20" s="350"/>
      <c r="B20" s="341"/>
      <c r="C20" s="341"/>
      <c r="D20" s="341"/>
      <c r="E20" s="338"/>
      <c r="F20" s="341" t="s">
        <v>37</v>
      </c>
      <c r="G20" s="342">
        <v>92</v>
      </c>
      <c r="H20" s="342">
        <v>92</v>
      </c>
      <c r="I20" s="336">
        <f t="shared" si="1"/>
        <v>0</v>
      </c>
      <c r="J20" s="351"/>
    </row>
    <row r="21" spans="1:10" ht="30" customHeight="1">
      <c r="A21" s="350"/>
      <c r="B21" s="341"/>
      <c r="C21" s="341"/>
      <c r="D21" s="341"/>
      <c r="E21" s="338"/>
      <c r="F21" s="341" t="s">
        <v>39</v>
      </c>
      <c r="G21" s="342">
        <v>2013</v>
      </c>
      <c r="H21" s="342">
        <v>671</v>
      </c>
      <c r="I21" s="336">
        <f t="shared" si="1"/>
        <v>-1342</v>
      </c>
      <c r="J21" s="351" t="s">
        <v>97</v>
      </c>
    </row>
    <row r="22" spans="1:10" ht="30" customHeight="1">
      <c r="A22" s="350"/>
      <c r="B22" s="341"/>
      <c r="C22" s="341"/>
      <c r="D22" s="341"/>
      <c r="E22" s="338"/>
      <c r="F22" s="341" t="s">
        <v>98</v>
      </c>
      <c r="G22" s="342">
        <v>475</v>
      </c>
      <c r="H22" s="342">
        <v>564</v>
      </c>
      <c r="I22" s="336">
        <f t="shared" si="1"/>
        <v>89</v>
      </c>
      <c r="J22" s="351" t="s">
        <v>99</v>
      </c>
    </row>
    <row r="23" spans="1:10" ht="30" customHeight="1">
      <c r="A23" s="350"/>
      <c r="B23" s="341"/>
      <c r="C23" s="341"/>
      <c r="D23" s="341"/>
      <c r="E23" s="338"/>
      <c r="F23" s="341" t="s">
        <v>100</v>
      </c>
      <c r="G23" s="342">
        <v>0</v>
      </c>
      <c r="H23" s="342">
        <v>364</v>
      </c>
      <c r="I23" s="336">
        <f t="shared" si="1"/>
        <v>364</v>
      </c>
      <c r="J23" s="351" t="s">
        <v>101</v>
      </c>
    </row>
    <row r="24" spans="1:10" ht="30" customHeight="1">
      <c r="A24" s="331" t="s">
        <v>42</v>
      </c>
      <c r="B24" s="333">
        <f>SUM(B25:B37)</f>
        <v>47497</v>
      </c>
      <c r="C24" s="333">
        <f>SUM(C25:C37)</f>
        <v>59222</v>
      </c>
      <c r="D24" s="333">
        <f t="shared" ref="D24:D36" si="2">C24-B24</f>
        <v>11725</v>
      </c>
      <c r="E24" s="338"/>
      <c r="F24" s="341" t="s">
        <v>102</v>
      </c>
      <c r="G24" s="342">
        <v>45</v>
      </c>
      <c r="H24" s="342">
        <v>45</v>
      </c>
      <c r="I24" s="336">
        <f t="shared" si="1"/>
        <v>0</v>
      </c>
      <c r="J24" s="351"/>
    </row>
    <row r="25" spans="1:10" ht="30" customHeight="1">
      <c r="A25" s="337" t="s">
        <v>44</v>
      </c>
      <c r="B25" s="341">
        <v>2603</v>
      </c>
      <c r="C25" s="341">
        <v>2603</v>
      </c>
      <c r="D25" s="341">
        <f t="shared" si="2"/>
        <v>0</v>
      </c>
      <c r="E25" s="351"/>
      <c r="F25" s="352" t="s">
        <v>46</v>
      </c>
      <c r="G25" s="336">
        <f>SUM(G26:G29)</f>
        <v>9574</v>
      </c>
      <c r="H25" s="336">
        <f>SUM(H26:H29)</f>
        <v>9574</v>
      </c>
      <c r="I25" s="336">
        <f t="shared" ref="I25:I38" si="3">H25-G25</f>
        <v>0</v>
      </c>
      <c r="J25" s="359"/>
    </row>
    <row r="26" spans="1:10" ht="30" customHeight="1">
      <c r="A26" s="337" t="s">
        <v>47</v>
      </c>
      <c r="B26" s="341">
        <f>27441+600</f>
        <v>28041</v>
      </c>
      <c r="C26" s="341">
        <v>39766</v>
      </c>
      <c r="D26" s="341">
        <f t="shared" si="2"/>
        <v>11725</v>
      </c>
      <c r="E26" s="351" t="s">
        <v>103</v>
      </c>
      <c r="F26" s="341" t="s">
        <v>48</v>
      </c>
      <c r="G26" s="341">
        <f>4272+51</f>
        <v>4323</v>
      </c>
      <c r="H26" s="341">
        <f>4272+51</f>
        <v>4323</v>
      </c>
      <c r="I26" s="336">
        <f t="shared" si="3"/>
        <v>0</v>
      </c>
      <c r="J26" s="351"/>
    </row>
    <row r="27" spans="1:10" ht="30" customHeight="1">
      <c r="A27" s="353" t="s">
        <v>50</v>
      </c>
      <c r="B27" s="341">
        <v>470</v>
      </c>
      <c r="C27" s="341">
        <v>470</v>
      </c>
      <c r="D27" s="341">
        <f t="shared" si="2"/>
        <v>0</v>
      </c>
      <c r="E27" s="354"/>
      <c r="F27" s="93" t="s">
        <v>51</v>
      </c>
      <c r="G27" s="341">
        <v>4421</v>
      </c>
      <c r="H27" s="341">
        <v>4421</v>
      </c>
      <c r="I27" s="336">
        <f t="shared" si="3"/>
        <v>0</v>
      </c>
      <c r="J27" s="351"/>
    </row>
    <row r="28" spans="1:10" ht="30" customHeight="1">
      <c r="A28" s="353" t="s">
        <v>53</v>
      </c>
      <c r="B28" s="355">
        <v>1919</v>
      </c>
      <c r="C28" s="355">
        <v>1919</v>
      </c>
      <c r="D28" s="341">
        <f t="shared" si="2"/>
        <v>0</v>
      </c>
      <c r="E28" s="356"/>
      <c r="F28" s="341" t="s">
        <v>55</v>
      </c>
      <c r="G28" s="344">
        <f>499+60+238</f>
        <v>797</v>
      </c>
      <c r="H28" s="344">
        <f>499+60+238</f>
        <v>797</v>
      </c>
      <c r="I28" s="336">
        <f t="shared" si="3"/>
        <v>0</v>
      </c>
      <c r="J28" s="351"/>
    </row>
    <row r="29" spans="1:10" ht="30" customHeight="1">
      <c r="A29" s="353" t="s">
        <v>57</v>
      </c>
      <c r="B29" s="341">
        <v>1082</v>
      </c>
      <c r="C29" s="341">
        <v>1082</v>
      </c>
      <c r="D29" s="341">
        <f t="shared" si="2"/>
        <v>0</v>
      </c>
      <c r="E29" s="351"/>
      <c r="F29" s="341" t="s">
        <v>59</v>
      </c>
      <c r="G29" s="342">
        <v>33</v>
      </c>
      <c r="H29" s="342">
        <v>33</v>
      </c>
      <c r="I29" s="336">
        <f t="shared" si="3"/>
        <v>0</v>
      </c>
      <c r="J29" s="351" t="s">
        <v>60</v>
      </c>
    </row>
    <row r="30" spans="1:10" ht="30" customHeight="1">
      <c r="A30" s="353" t="s">
        <v>61</v>
      </c>
      <c r="B30" s="341">
        <v>3159</v>
      </c>
      <c r="C30" s="341">
        <v>3159</v>
      </c>
      <c r="D30" s="341">
        <f t="shared" si="2"/>
        <v>0</v>
      </c>
      <c r="E30" s="351"/>
      <c r="F30" s="357" t="s">
        <v>65</v>
      </c>
      <c r="G30" s="358">
        <v>180.5</v>
      </c>
      <c r="H30" s="358">
        <v>180.5</v>
      </c>
      <c r="I30" s="358">
        <f t="shared" si="3"/>
        <v>0</v>
      </c>
      <c r="J30" s="351"/>
    </row>
    <row r="31" spans="1:10" ht="30" customHeight="1">
      <c r="A31" s="353" t="s">
        <v>63</v>
      </c>
      <c r="B31" s="341">
        <v>18</v>
      </c>
      <c r="C31" s="341">
        <v>18</v>
      </c>
      <c r="D31" s="341">
        <f t="shared" si="2"/>
        <v>0</v>
      </c>
      <c r="E31" s="359"/>
      <c r="F31" s="360"/>
      <c r="G31" s="361"/>
      <c r="H31" s="361"/>
      <c r="I31" s="370"/>
      <c r="J31" s="371"/>
    </row>
    <row r="32" spans="1:10" ht="30" customHeight="1">
      <c r="A32" s="353" t="s">
        <v>64</v>
      </c>
      <c r="B32" s="341">
        <v>9099</v>
      </c>
      <c r="C32" s="341">
        <v>9099</v>
      </c>
      <c r="D32" s="341">
        <f t="shared" si="2"/>
        <v>0</v>
      </c>
      <c r="E32" s="359"/>
      <c r="F32" s="117"/>
      <c r="G32" s="117"/>
      <c r="H32" s="117"/>
      <c r="I32" s="117"/>
      <c r="J32" s="117"/>
    </row>
    <row r="33" spans="1:10" ht="30" customHeight="1">
      <c r="A33" s="353" t="s">
        <v>67</v>
      </c>
      <c r="B33" s="341">
        <v>30</v>
      </c>
      <c r="C33" s="341">
        <v>30</v>
      </c>
      <c r="D33" s="341">
        <f t="shared" si="2"/>
        <v>0</v>
      </c>
      <c r="E33" s="359"/>
      <c r="F33" s="333" t="s">
        <v>68</v>
      </c>
      <c r="G33" s="336">
        <f>SUM(G34:G38)</f>
        <v>5071.1400000000003</v>
      </c>
      <c r="H33" s="336">
        <f>SUM(H34:H38)</f>
        <v>5150</v>
      </c>
      <c r="I33" s="336">
        <f t="shared" si="3"/>
        <v>78.859999999999701</v>
      </c>
      <c r="J33" s="359"/>
    </row>
    <row r="34" spans="1:10" ht="30" customHeight="1">
      <c r="A34" s="353" t="s">
        <v>69</v>
      </c>
      <c r="B34" s="341">
        <v>400</v>
      </c>
      <c r="C34" s="341">
        <v>400</v>
      </c>
      <c r="D34" s="341">
        <f t="shared" si="2"/>
        <v>0</v>
      </c>
      <c r="E34" s="359"/>
      <c r="F34" s="341" t="s">
        <v>70</v>
      </c>
      <c r="G34" s="342">
        <v>1166</v>
      </c>
      <c r="H34" s="342">
        <v>1166</v>
      </c>
      <c r="I34" s="336">
        <f t="shared" si="3"/>
        <v>0</v>
      </c>
      <c r="J34" s="351"/>
    </row>
    <row r="35" spans="1:10" ht="30" customHeight="1">
      <c r="A35" s="353" t="s">
        <v>104</v>
      </c>
      <c r="B35" s="341">
        <v>59</v>
      </c>
      <c r="C35" s="341">
        <v>59</v>
      </c>
      <c r="D35" s="341">
        <f t="shared" si="2"/>
        <v>0</v>
      </c>
      <c r="E35" s="359"/>
      <c r="F35" s="341" t="s">
        <v>71</v>
      </c>
      <c r="G35" s="342">
        <v>2762</v>
      </c>
      <c r="H35" s="342">
        <v>2762</v>
      </c>
      <c r="I35" s="336">
        <f t="shared" si="3"/>
        <v>0</v>
      </c>
      <c r="J35" s="351"/>
    </row>
    <row r="36" spans="1:10" ht="30" customHeight="1">
      <c r="A36" s="353" t="s">
        <v>105</v>
      </c>
      <c r="B36" s="341">
        <v>617</v>
      </c>
      <c r="C36" s="341">
        <v>617</v>
      </c>
      <c r="D36" s="341">
        <f t="shared" si="2"/>
        <v>0</v>
      </c>
      <c r="E36" s="362"/>
      <c r="F36" s="341" t="s">
        <v>72</v>
      </c>
      <c r="G36" s="342">
        <v>26</v>
      </c>
      <c r="H36" s="342">
        <v>26</v>
      </c>
      <c r="I36" s="336">
        <f t="shared" si="3"/>
        <v>0</v>
      </c>
      <c r="J36" s="351"/>
    </row>
    <row r="37" spans="1:10" ht="30" customHeight="1">
      <c r="A37" s="353"/>
      <c r="B37" s="341"/>
      <c r="C37" s="341"/>
      <c r="D37" s="341"/>
      <c r="E37" s="359"/>
      <c r="F37" s="341" t="s">
        <v>74</v>
      </c>
      <c r="G37" s="342">
        <v>425</v>
      </c>
      <c r="H37" s="342">
        <v>425</v>
      </c>
      <c r="I37" s="336">
        <f t="shared" si="3"/>
        <v>0</v>
      </c>
      <c r="J37" s="351"/>
    </row>
    <row r="38" spans="1:10" ht="30" customHeight="1">
      <c r="A38" s="331" t="s">
        <v>73</v>
      </c>
      <c r="B38" s="333">
        <f>SUM(B39:B39)</f>
        <v>0</v>
      </c>
      <c r="C38" s="333">
        <f>SUM(C39:C39)</f>
        <v>2000</v>
      </c>
      <c r="D38" s="333">
        <f>C38-B38</f>
        <v>2000</v>
      </c>
      <c r="E38" s="359"/>
      <c r="F38" s="363" t="s">
        <v>76</v>
      </c>
      <c r="G38" s="361">
        <f>85.98+41.88+67.98+306.34+174.18+15.78</f>
        <v>692.14</v>
      </c>
      <c r="H38" s="361">
        <v>771</v>
      </c>
      <c r="I38" s="370">
        <f t="shared" si="3"/>
        <v>78.86</v>
      </c>
      <c r="J38" s="371" t="s">
        <v>106</v>
      </c>
    </row>
    <row r="39" spans="1:10" ht="30" customHeight="1">
      <c r="A39" s="337" t="s">
        <v>107</v>
      </c>
      <c r="B39" s="341"/>
      <c r="C39" s="341">
        <v>2000</v>
      </c>
      <c r="D39" s="341">
        <f>C39-B39</f>
        <v>2000</v>
      </c>
      <c r="E39" s="359"/>
      <c r="F39" s="117"/>
      <c r="G39" s="117"/>
      <c r="H39" s="117"/>
      <c r="I39" s="117"/>
      <c r="J39" s="117"/>
    </row>
    <row r="40" spans="1:10" ht="30" customHeight="1">
      <c r="A40" s="337"/>
      <c r="B40" s="341"/>
      <c r="C40" s="341"/>
      <c r="D40" s="341"/>
      <c r="E40" s="338"/>
      <c r="F40" s="333" t="s">
        <v>78</v>
      </c>
      <c r="G40" s="336">
        <f>SUM(G41:G47)</f>
        <v>36665</v>
      </c>
      <c r="H40" s="336">
        <f>SUM(H41:H47)</f>
        <v>52834</v>
      </c>
      <c r="I40" s="336">
        <f t="shared" ref="I40:I49" si="4">H40-G40</f>
        <v>16169</v>
      </c>
      <c r="J40" s="335"/>
    </row>
    <row r="41" spans="1:10" ht="30" customHeight="1">
      <c r="A41" s="331" t="s">
        <v>79</v>
      </c>
      <c r="B41" s="333">
        <f>B42+B43</f>
        <v>11000</v>
      </c>
      <c r="C41" s="333">
        <f>C42+C43</f>
        <v>14100</v>
      </c>
      <c r="D41" s="333">
        <f t="shared" ref="D41:D43" si="5">C41-B41</f>
        <v>3100</v>
      </c>
      <c r="E41" s="359"/>
      <c r="F41" s="364" t="s">
        <v>80</v>
      </c>
      <c r="G41" s="342">
        <v>1731</v>
      </c>
      <c r="H41" s="342">
        <v>3000</v>
      </c>
      <c r="I41" s="342">
        <f t="shared" si="4"/>
        <v>1269</v>
      </c>
      <c r="J41" s="351" t="s">
        <v>108</v>
      </c>
    </row>
    <row r="42" spans="1:10" ht="30" customHeight="1">
      <c r="A42" s="365" t="s">
        <v>109</v>
      </c>
      <c r="B42" s="333">
        <v>8000</v>
      </c>
      <c r="C42" s="333">
        <v>7100</v>
      </c>
      <c r="D42" s="333">
        <f t="shared" si="5"/>
        <v>-900</v>
      </c>
      <c r="E42" s="338"/>
      <c r="F42" s="364" t="s">
        <v>82</v>
      </c>
      <c r="G42" s="342">
        <v>3000</v>
      </c>
      <c r="H42" s="342">
        <v>3000</v>
      </c>
      <c r="I42" s="342">
        <f t="shared" si="4"/>
        <v>0</v>
      </c>
      <c r="J42" s="351" t="s">
        <v>110</v>
      </c>
    </row>
    <row r="43" spans="1:10" ht="30" customHeight="1">
      <c r="A43" s="337" t="s">
        <v>111</v>
      </c>
      <c r="B43" s="333">
        <v>3000</v>
      </c>
      <c r="C43" s="333">
        <v>7000</v>
      </c>
      <c r="D43" s="333">
        <f t="shared" si="5"/>
        <v>4000</v>
      </c>
      <c r="E43" s="359"/>
      <c r="F43" s="364" t="s">
        <v>83</v>
      </c>
      <c r="G43" s="342">
        <v>7021</v>
      </c>
      <c r="H43" s="342">
        <v>7021</v>
      </c>
      <c r="I43" s="342">
        <f t="shared" si="4"/>
        <v>0</v>
      </c>
      <c r="J43" s="351"/>
    </row>
    <row r="44" spans="1:10" ht="30" customHeight="1">
      <c r="A44" s="337"/>
      <c r="B44" s="333"/>
      <c r="C44" s="333"/>
      <c r="D44" s="333"/>
      <c r="E44" s="359"/>
      <c r="F44" s="364" t="s">
        <v>85</v>
      </c>
      <c r="G44" s="342">
        <v>20513</v>
      </c>
      <c r="H44" s="342">
        <v>24313</v>
      </c>
      <c r="I44" s="342">
        <f t="shared" si="4"/>
        <v>3800</v>
      </c>
      <c r="J44" s="351" t="s">
        <v>84</v>
      </c>
    </row>
    <row r="45" spans="1:10" ht="30" customHeight="1">
      <c r="A45" s="331"/>
      <c r="B45" s="333"/>
      <c r="C45" s="333" t="s">
        <v>96</v>
      </c>
      <c r="D45" s="333"/>
      <c r="E45" s="338"/>
      <c r="F45" s="364" t="s">
        <v>112</v>
      </c>
      <c r="G45" s="342">
        <v>1400</v>
      </c>
      <c r="H45" s="342">
        <v>1400</v>
      </c>
      <c r="I45" s="342">
        <f t="shared" si="4"/>
        <v>0</v>
      </c>
      <c r="J45" s="372"/>
    </row>
    <row r="46" spans="1:10" ht="30" customHeight="1">
      <c r="A46" s="331"/>
      <c r="B46" s="333"/>
      <c r="C46" s="333"/>
      <c r="D46" s="333"/>
      <c r="E46" s="338"/>
      <c r="F46" s="364" t="s">
        <v>113</v>
      </c>
      <c r="G46" s="342">
        <v>0</v>
      </c>
      <c r="H46" s="342">
        <v>7100</v>
      </c>
      <c r="I46" s="342">
        <f t="shared" si="4"/>
        <v>7100</v>
      </c>
      <c r="J46" s="351" t="s">
        <v>86</v>
      </c>
    </row>
    <row r="47" spans="1:10" ht="30" customHeight="1">
      <c r="A47" s="337"/>
      <c r="B47" s="333"/>
      <c r="C47" s="333"/>
      <c r="D47" s="333"/>
      <c r="E47" s="338"/>
      <c r="F47" s="364" t="s">
        <v>114</v>
      </c>
      <c r="G47" s="342">
        <v>3000</v>
      </c>
      <c r="H47" s="342">
        <v>7000</v>
      </c>
      <c r="I47" s="342">
        <f t="shared" si="4"/>
        <v>4000</v>
      </c>
      <c r="J47" s="373" t="s">
        <v>115</v>
      </c>
    </row>
    <row r="48" spans="1:10" ht="30" customHeight="1">
      <c r="A48" s="337"/>
      <c r="B48" s="333"/>
      <c r="C48" s="333"/>
      <c r="D48" s="333"/>
      <c r="E48" s="338"/>
      <c r="F48" s="366" t="s">
        <v>88</v>
      </c>
      <c r="G48" s="336">
        <v>3200</v>
      </c>
      <c r="H48" s="336">
        <v>4200</v>
      </c>
      <c r="I48" s="336">
        <f t="shared" si="4"/>
        <v>1000</v>
      </c>
      <c r="J48" s="359" t="s">
        <v>116</v>
      </c>
    </row>
    <row r="49" spans="1:10" ht="30" customHeight="1">
      <c r="A49" s="331" t="s">
        <v>89</v>
      </c>
      <c r="B49" s="333">
        <f>B8+B24+B38+B41</f>
        <v>98473</v>
      </c>
      <c r="C49" s="333">
        <f>C8+C24+C38+C41</f>
        <v>115298</v>
      </c>
      <c r="D49" s="334">
        <f>C49-B49</f>
        <v>16825</v>
      </c>
      <c r="E49" s="335"/>
      <c r="F49" s="333" t="s">
        <v>89</v>
      </c>
      <c r="G49" s="367">
        <f>98473</f>
        <v>98473</v>
      </c>
      <c r="H49" s="367">
        <f>H5+H48</f>
        <v>115298.3</v>
      </c>
      <c r="I49" s="336">
        <f t="shared" si="4"/>
        <v>16825.3</v>
      </c>
      <c r="J49" s="374"/>
    </row>
    <row r="50" spans="1:10" ht="30" customHeight="1">
      <c r="A50" s="399" t="s">
        <v>90</v>
      </c>
      <c r="B50" s="399"/>
      <c r="C50" s="399"/>
      <c r="D50" s="399"/>
      <c r="E50" s="399"/>
      <c r="F50" s="399"/>
      <c r="G50" s="400">
        <f>C49-H49</f>
        <v>-0.30000000000290999</v>
      </c>
      <c r="H50" s="400"/>
      <c r="I50" s="400"/>
      <c r="J50" s="400"/>
    </row>
    <row r="55" spans="1:10">
      <c r="E55" s="368"/>
    </row>
  </sheetData>
  <mergeCells count="9">
    <mergeCell ref="A2:J2"/>
    <mergeCell ref="E3:F3"/>
    <mergeCell ref="A50:F50"/>
    <mergeCell ref="G50:J50"/>
    <mergeCell ref="A5:A7"/>
    <mergeCell ref="B5:B7"/>
    <mergeCell ref="C5:C7"/>
    <mergeCell ref="D5:D7"/>
    <mergeCell ref="E5:E7"/>
  </mergeCells>
  <phoneticPr fontId="59" type="noConversion"/>
  <printOptions horizontalCentered="1"/>
  <pageMargins left="0.27559055118110237" right="0.19685039370078741" top="0.98425196850393704" bottom="0.98425196850393704" header="0.74803149606299213" footer="0.51181102362204722"/>
  <pageSetup paperSize="8" scale="85" orientation="landscape" useFirstPageNumber="1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1"/>
  <sheetViews>
    <sheetView topLeftCell="A4" workbookViewId="0">
      <selection activeCell="C14" sqref="C14"/>
    </sheetView>
  </sheetViews>
  <sheetFormatPr defaultColWidth="8.75" defaultRowHeight="14.25"/>
  <cols>
    <col min="1" max="1" width="37.5" style="32" customWidth="1"/>
    <col min="2" max="2" width="26.875" style="32" customWidth="1"/>
    <col min="3" max="3" width="24.5" style="32" customWidth="1"/>
    <col min="4" max="4" width="18.25" style="292" customWidth="1"/>
    <col min="5" max="5" width="19.625" style="32" customWidth="1"/>
    <col min="6" max="6" width="10.625" style="32" customWidth="1"/>
    <col min="7" max="7" width="13.25" style="32" customWidth="1"/>
    <col min="8" max="18" width="9" style="32" customWidth="1"/>
    <col min="19" max="16384" width="8.75" style="32"/>
  </cols>
  <sheetData>
    <row r="1" spans="1:10" s="227" customFormat="1" ht="14.25" customHeight="1">
      <c r="A1" s="293" t="s">
        <v>117</v>
      </c>
      <c r="B1" s="294"/>
      <c r="C1" s="294"/>
      <c r="D1" s="295"/>
      <c r="E1" s="295"/>
      <c r="F1" s="296"/>
      <c r="G1" s="295"/>
      <c r="H1" s="233"/>
      <c r="I1" s="233"/>
      <c r="J1" s="233"/>
    </row>
    <row r="2" spans="1:10" s="227" customFormat="1" ht="27.95" customHeight="1">
      <c r="A2" s="490" t="s">
        <v>580</v>
      </c>
      <c r="B2" s="408"/>
      <c r="C2" s="408"/>
      <c r="D2" s="408"/>
      <c r="E2" s="408"/>
      <c r="F2" s="408"/>
      <c r="G2" s="408"/>
      <c r="H2" s="233"/>
      <c r="I2" s="233"/>
      <c r="J2" s="233"/>
    </row>
    <row r="3" spans="1:10" s="229" customFormat="1" ht="14.25" customHeight="1">
      <c r="A3" s="297"/>
      <c r="B3" s="298"/>
      <c r="C3" s="409">
        <v>44465</v>
      </c>
      <c r="D3" s="409"/>
      <c r="E3" s="299"/>
      <c r="F3" s="300"/>
      <c r="G3" s="232" t="s">
        <v>2</v>
      </c>
      <c r="H3" s="233"/>
      <c r="I3" s="233"/>
      <c r="J3" s="233"/>
    </row>
    <row r="4" spans="1:10" s="229" customFormat="1" ht="24.95" customHeight="1">
      <c r="A4" s="412" t="s">
        <v>118</v>
      </c>
      <c r="B4" s="414" t="s">
        <v>119</v>
      </c>
      <c r="C4" s="416" t="s">
        <v>120</v>
      </c>
      <c r="D4" s="416" t="s">
        <v>121</v>
      </c>
      <c r="E4" s="418" t="s">
        <v>122</v>
      </c>
      <c r="F4" s="410" t="s">
        <v>123</v>
      </c>
      <c r="G4" s="411"/>
      <c r="H4" s="233"/>
      <c r="I4" s="233"/>
      <c r="J4" s="233"/>
    </row>
    <row r="5" spans="1:10" s="229" customFormat="1" ht="24.95" customHeight="1">
      <c r="A5" s="413"/>
      <c r="B5" s="415"/>
      <c r="C5" s="417"/>
      <c r="D5" s="417"/>
      <c r="E5" s="419"/>
      <c r="F5" s="301" t="s">
        <v>124</v>
      </c>
      <c r="G5" s="301" t="s">
        <v>125</v>
      </c>
      <c r="H5" s="233"/>
      <c r="I5" s="233"/>
      <c r="J5" s="290"/>
    </row>
    <row r="6" spans="1:10" s="229" customFormat="1" ht="24.95" customHeight="1">
      <c r="A6" s="302" t="s">
        <v>126</v>
      </c>
      <c r="B6" s="303">
        <v>20752</v>
      </c>
      <c r="C6" s="304">
        <v>26168</v>
      </c>
      <c r="D6" s="304">
        <v>26168</v>
      </c>
      <c r="E6" s="305">
        <f t="shared" ref="E6:E16" si="0">D6/B6-1</f>
        <v>0.26098689282960702</v>
      </c>
      <c r="F6" s="306">
        <f t="shared" ref="F6:F16" si="1">D6-C6</f>
        <v>0</v>
      </c>
      <c r="G6" s="307">
        <f t="shared" ref="G6:G16" si="2">D6/C6</f>
        <v>1</v>
      </c>
      <c r="H6" s="233"/>
      <c r="I6" s="233"/>
      <c r="J6" s="233"/>
    </row>
    <row r="7" spans="1:10" s="229" customFormat="1" ht="24.95" customHeight="1">
      <c r="A7" s="308" t="s">
        <v>127</v>
      </c>
      <c r="B7" s="303">
        <v>2753</v>
      </c>
      <c r="C7" s="304">
        <v>2808</v>
      </c>
      <c r="D7" s="304">
        <v>2808</v>
      </c>
      <c r="E7" s="305">
        <f t="shared" si="0"/>
        <v>1.99782055938975E-2</v>
      </c>
      <c r="F7" s="306">
        <f t="shared" si="1"/>
        <v>0</v>
      </c>
      <c r="G7" s="307">
        <f t="shared" si="2"/>
        <v>1</v>
      </c>
      <c r="H7" s="233"/>
      <c r="I7" s="233"/>
      <c r="J7" s="233"/>
    </row>
    <row r="8" spans="1:10" s="229" customFormat="1" ht="24.95" customHeight="1">
      <c r="A8" s="308" t="s">
        <v>21</v>
      </c>
      <c r="B8" s="303">
        <v>12646</v>
      </c>
      <c r="C8" s="304">
        <v>11000</v>
      </c>
      <c r="D8" s="304">
        <v>11000</v>
      </c>
      <c r="E8" s="305">
        <f t="shared" si="0"/>
        <v>-0.13015973430333699</v>
      </c>
      <c r="F8" s="306">
        <f t="shared" si="1"/>
        <v>0</v>
      </c>
      <c r="G8" s="307">
        <f t="shared" si="2"/>
        <v>1</v>
      </c>
      <c r="H8" s="233"/>
      <c r="I8" s="233"/>
      <c r="J8" s="233"/>
    </row>
    <row r="9" spans="1:10" s="229" customFormat="1" ht="24.95" customHeight="1">
      <c r="A9" s="308" t="s">
        <v>128</v>
      </c>
      <c r="B9" s="309">
        <f>B6+B7+B8</f>
        <v>36151</v>
      </c>
      <c r="C9" s="309">
        <f>C6+C7+C8</f>
        <v>39976</v>
      </c>
      <c r="D9" s="309">
        <f>D6+D7+D8</f>
        <v>39976</v>
      </c>
      <c r="E9" s="310">
        <f t="shared" si="0"/>
        <v>0.10580620176482</v>
      </c>
      <c r="F9" s="311">
        <f t="shared" si="1"/>
        <v>0</v>
      </c>
      <c r="G9" s="307">
        <f t="shared" si="2"/>
        <v>1</v>
      </c>
      <c r="H9" s="233"/>
      <c r="I9" s="233"/>
      <c r="J9" s="233"/>
    </row>
    <row r="10" spans="1:10" s="229" customFormat="1" ht="24.95" customHeight="1">
      <c r="A10" s="308" t="s">
        <v>129</v>
      </c>
      <c r="B10" s="312">
        <v>24121</v>
      </c>
      <c r="C10" s="312">
        <v>30379</v>
      </c>
      <c r="D10" s="309">
        <v>39976</v>
      </c>
      <c r="E10" s="310">
        <v>1</v>
      </c>
      <c r="F10" s="311">
        <v>0</v>
      </c>
      <c r="G10" s="307">
        <v>1</v>
      </c>
      <c r="H10" s="233"/>
      <c r="I10" s="233"/>
      <c r="J10" s="233"/>
    </row>
    <row r="11" spans="1:10" s="229" customFormat="1" ht="24.95" customHeight="1">
      <c r="A11" s="308" t="s">
        <v>126</v>
      </c>
      <c r="B11" s="303">
        <v>43448</v>
      </c>
      <c r="C11" s="313">
        <v>54657</v>
      </c>
      <c r="D11" s="313">
        <v>54657</v>
      </c>
      <c r="E11" s="305">
        <f t="shared" si="0"/>
        <v>0.25798655864481701</v>
      </c>
      <c r="F11" s="306">
        <f t="shared" si="1"/>
        <v>0</v>
      </c>
      <c r="G11" s="307">
        <f t="shared" si="2"/>
        <v>1</v>
      </c>
      <c r="H11" s="233"/>
      <c r="I11" s="233"/>
      <c r="J11" s="233"/>
    </row>
    <row r="12" spans="1:10" s="229" customFormat="1" ht="24.95" customHeight="1">
      <c r="A12" s="308" t="s">
        <v>127</v>
      </c>
      <c r="B12" s="303">
        <v>4178</v>
      </c>
      <c r="C12" s="313">
        <v>4698</v>
      </c>
      <c r="D12" s="313">
        <v>4698</v>
      </c>
      <c r="E12" s="305">
        <f t="shared" si="0"/>
        <v>0.124461464815701</v>
      </c>
      <c r="F12" s="306">
        <f t="shared" si="1"/>
        <v>0</v>
      </c>
      <c r="G12" s="307">
        <f t="shared" si="2"/>
        <v>1</v>
      </c>
      <c r="H12" s="233"/>
      <c r="I12" s="233"/>
      <c r="J12" s="233"/>
    </row>
    <row r="13" spans="1:10" s="229" customFormat="1" ht="24" customHeight="1">
      <c r="A13" s="308" t="s">
        <v>21</v>
      </c>
      <c r="B13" s="303">
        <v>12646</v>
      </c>
      <c r="C13" s="313">
        <v>11000</v>
      </c>
      <c r="D13" s="313">
        <v>11000</v>
      </c>
      <c r="E13" s="305">
        <f t="shared" si="0"/>
        <v>-0.13015973430333699</v>
      </c>
      <c r="F13" s="306">
        <f t="shared" si="1"/>
        <v>0</v>
      </c>
      <c r="G13" s="307">
        <f t="shared" si="2"/>
        <v>1</v>
      </c>
      <c r="H13" s="233"/>
      <c r="I13" s="233"/>
      <c r="J13" s="233"/>
    </row>
    <row r="14" spans="1:10" s="229" customFormat="1" ht="24.95" customHeight="1">
      <c r="A14" s="308" t="s">
        <v>130</v>
      </c>
      <c r="B14" s="309">
        <f>SUM(B11:B13)</f>
        <v>60272</v>
      </c>
      <c r="C14" s="309">
        <f>SUM(C11:C13)</f>
        <v>70355</v>
      </c>
      <c r="D14" s="309">
        <f>SUM(D11:D13)</f>
        <v>70355</v>
      </c>
      <c r="E14" s="314">
        <f t="shared" si="0"/>
        <v>0.16729161136182599</v>
      </c>
      <c r="F14" s="311">
        <f t="shared" si="1"/>
        <v>0</v>
      </c>
      <c r="G14" s="307">
        <f t="shared" si="2"/>
        <v>1</v>
      </c>
      <c r="H14" s="233"/>
      <c r="I14" s="233"/>
      <c r="J14" s="233"/>
    </row>
    <row r="15" spans="1:10" s="229" customFormat="1" ht="30.75" customHeight="1">
      <c r="A15" s="308" t="s">
        <v>131</v>
      </c>
      <c r="B15" s="309">
        <v>49163</v>
      </c>
      <c r="C15" s="309">
        <v>59332</v>
      </c>
      <c r="D15" s="309">
        <v>59332</v>
      </c>
      <c r="E15" s="310">
        <f t="shared" si="0"/>
        <v>0.20684254418973599</v>
      </c>
      <c r="F15" s="311">
        <f t="shared" si="1"/>
        <v>0</v>
      </c>
      <c r="G15" s="307">
        <f t="shared" si="2"/>
        <v>1</v>
      </c>
      <c r="H15" s="233"/>
      <c r="I15" s="233"/>
      <c r="J15" s="233"/>
    </row>
    <row r="16" spans="1:10" s="229" customFormat="1" ht="27.75" customHeight="1">
      <c r="A16" s="308" t="s">
        <v>132</v>
      </c>
      <c r="B16" s="309">
        <v>13629</v>
      </c>
      <c r="C16" s="309">
        <v>12500</v>
      </c>
      <c r="D16" s="309">
        <v>12500</v>
      </c>
      <c r="E16" s="310">
        <f t="shared" si="0"/>
        <v>-8.2838065888913306E-2</v>
      </c>
      <c r="F16" s="311">
        <f t="shared" si="1"/>
        <v>0</v>
      </c>
      <c r="G16" s="307">
        <f t="shared" si="2"/>
        <v>1</v>
      </c>
      <c r="H16" s="233"/>
      <c r="I16" s="233"/>
      <c r="J16" s="233"/>
    </row>
    <row r="17" spans="1:10" s="289" customFormat="1" ht="32.25" customHeight="1">
      <c r="A17" s="315" t="s">
        <v>133</v>
      </c>
      <c r="B17" s="316">
        <f>B16/B14</f>
        <v>0.226124900451287</v>
      </c>
      <c r="C17" s="316">
        <f>C16/C14</f>
        <v>0.177670385900078</v>
      </c>
      <c r="D17" s="316">
        <f>D16/D14</f>
        <v>0.177670385900078</v>
      </c>
      <c r="E17" s="317"/>
      <c r="F17" s="318"/>
      <c r="G17" s="318"/>
      <c r="H17" s="290"/>
      <c r="I17" s="290"/>
      <c r="J17" s="290"/>
    </row>
    <row r="18" spans="1:10" s="290" customFormat="1" ht="33" customHeight="1">
      <c r="A18" s="319" t="s">
        <v>134</v>
      </c>
      <c r="B18" s="320">
        <v>0.377</v>
      </c>
      <c r="C18" s="320">
        <f>C16/C9</f>
        <v>0.31268761256754102</v>
      </c>
      <c r="D18" s="320">
        <f>D16/D9</f>
        <v>0.31268761256754102</v>
      </c>
      <c r="E18" s="319"/>
      <c r="F18" s="320"/>
      <c r="G18" s="319"/>
    </row>
    <row r="19" spans="1:10" s="227" customFormat="1" ht="18.75" customHeight="1">
      <c r="A19" s="321"/>
      <c r="B19" s="233"/>
      <c r="C19" s="322"/>
      <c r="D19" s="321"/>
      <c r="E19" s="321"/>
      <c r="F19" s="323"/>
      <c r="G19" s="324"/>
      <c r="H19" s="233"/>
      <c r="I19" s="233"/>
      <c r="J19" s="233"/>
    </row>
    <row r="20" spans="1:10" s="227" customFormat="1" ht="18.75" customHeight="1">
      <c r="A20" s="321"/>
      <c r="B20" s="233"/>
      <c r="C20" s="322"/>
      <c r="D20" s="321"/>
      <c r="E20" s="321"/>
      <c r="F20" s="323"/>
      <c r="G20" s="324"/>
      <c r="H20" s="233"/>
      <c r="I20" s="233"/>
      <c r="J20" s="233"/>
    </row>
    <row r="21" spans="1:10" s="227" customFormat="1" ht="18.75" customHeight="1">
      <c r="A21" s="321"/>
      <c r="B21" s="233"/>
      <c r="C21" s="322"/>
      <c r="D21" s="321"/>
      <c r="E21" s="321"/>
      <c r="F21" s="323"/>
      <c r="G21" s="324"/>
      <c r="H21" s="233"/>
      <c r="I21" s="233"/>
      <c r="J21" s="233"/>
    </row>
    <row r="22" spans="1:10" s="227" customFormat="1" ht="18.75" customHeight="1">
      <c r="A22" s="321"/>
      <c r="B22" s="233"/>
      <c r="C22" s="322"/>
      <c r="D22" s="321"/>
      <c r="E22" s="321"/>
      <c r="F22" s="323"/>
      <c r="G22" s="324"/>
      <c r="H22" s="233"/>
      <c r="I22" s="233"/>
      <c r="J22" s="233"/>
    </row>
    <row r="23" spans="1:10" s="227" customFormat="1" ht="18.75" customHeight="1">
      <c r="A23" s="321"/>
      <c r="B23" s="233"/>
      <c r="C23" s="322"/>
      <c r="D23" s="321"/>
      <c r="E23" s="321"/>
      <c r="F23" s="323"/>
      <c r="G23" s="324"/>
      <c r="H23" s="233"/>
      <c r="I23" s="233"/>
      <c r="J23" s="233"/>
    </row>
    <row r="24" spans="1:10" s="227" customFormat="1" ht="14.25" customHeight="1">
      <c r="A24" s="321"/>
      <c r="B24" s="233"/>
      <c r="C24" s="322"/>
      <c r="D24" s="321"/>
      <c r="E24" s="321"/>
      <c r="F24" s="321"/>
      <c r="G24" s="324"/>
      <c r="H24" s="233"/>
      <c r="I24" s="233"/>
      <c r="J24" s="233"/>
    </row>
    <row r="25" spans="1:10" s="227" customFormat="1" ht="18.75" customHeight="1">
      <c r="A25" s="321"/>
      <c r="B25" s="233"/>
      <c r="C25" s="322"/>
      <c r="D25" s="321"/>
      <c r="E25" s="321"/>
      <c r="F25" s="323"/>
      <c r="G25" s="324"/>
      <c r="H25" s="233"/>
      <c r="I25" s="233"/>
      <c r="J25" s="233"/>
    </row>
    <row r="26" spans="1:10" s="227" customFormat="1" ht="18.75" customHeight="1">
      <c r="A26" s="321"/>
      <c r="B26" s="233"/>
      <c r="C26" s="322"/>
      <c r="D26" s="321"/>
      <c r="E26" s="321"/>
      <c r="F26" s="323"/>
      <c r="G26" s="324"/>
      <c r="H26" s="233"/>
      <c r="I26" s="233"/>
      <c r="J26" s="233"/>
    </row>
    <row r="27" spans="1:10" s="227" customFormat="1" ht="18.75" customHeight="1">
      <c r="A27" s="321"/>
      <c r="B27" s="233"/>
      <c r="C27" s="322"/>
      <c r="D27" s="321"/>
      <c r="E27" s="321"/>
      <c r="F27" s="323"/>
      <c r="G27" s="324"/>
      <c r="H27" s="233"/>
      <c r="I27" s="233"/>
      <c r="J27" s="233"/>
    </row>
    <row r="28" spans="1:10" s="227" customFormat="1" ht="18.75" customHeight="1">
      <c r="A28" s="233"/>
      <c r="B28" s="233"/>
      <c r="C28" s="233"/>
      <c r="D28" s="233"/>
      <c r="E28" s="233"/>
      <c r="F28" s="325"/>
      <c r="G28" s="233"/>
      <c r="H28" s="233"/>
      <c r="I28" s="233"/>
      <c r="J28" s="233"/>
    </row>
    <row r="29" spans="1:10" s="291" customFormat="1" ht="14.25" customHeight="1"/>
    <row r="30" spans="1:10" s="291" customFormat="1" ht="14.25" customHeight="1"/>
    <row r="31" spans="1:10" s="231" customFormat="1" ht="14.25" customHeight="1">
      <c r="G31" s="291"/>
      <c r="H31" s="291"/>
      <c r="I31" s="291"/>
      <c r="J31" s="291"/>
    </row>
  </sheetData>
  <mergeCells count="8">
    <mergeCell ref="A2:G2"/>
    <mergeCell ref="C3:D3"/>
    <mergeCell ref="F4:G4"/>
    <mergeCell ref="A4:A5"/>
    <mergeCell ref="B4:B5"/>
    <mergeCell ref="C4:C5"/>
    <mergeCell ref="D4:D5"/>
    <mergeCell ref="E4:E5"/>
  </mergeCells>
  <phoneticPr fontId="59" type="noConversion"/>
  <conditionalFormatting sqref="G17:G27 C19:C27">
    <cfRule type="cellIs" dxfId="4" priority="1" stopIfTrue="1" operator="lessThan">
      <formula>0</formula>
    </cfRule>
  </conditionalFormatting>
  <printOptions horizontalCentered="1"/>
  <pageMargins left="1.5748031496062993" right="1.5748031496062993" top="1.1811023622047245" bottom="0.98425196850393704" header="0.51181102362204722" footer="0.51181102362204722"/>
  <pageSetup paperSize="8" orientation="landscape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3"/>
  <sheetViews>
    <sheetView showGridLines="0" topLeftCell="A16" workbookViewId="0">
      <selection activeCell="C14" sqref="C14"/>
    </sheetView>
  </sheetViews>
  <sheetFormatPr defaultColWidth="9" defaultRowHeight="14.25" customHeight="1"/>
  <cols>
    <col min="1" max="1" width="54.125" style="267" customWidth="1"/>
    <col min="2" max="2" width="17.375" style="230" customWidth="1"/>
    <col min="3" max="3" width="14.375" style="230" customWidth="1"/>
    <col min="4" max="4" width="16" style="230" customWidth="1"/>
    <col min="5" max="5" width="14.875" style="230" customWidth="1"/>
    <col min="6" max="6" width="50.5" style="231" customWidth="1"/>
    <col min="7" max="16384" width="9" style="231"/>
  </cols>
  <sheetData>
    <row r="1" spans="1:6" s="263" customFormat="1" ht="19.5" customHeight="1">
      <c r="A1" s="497" t="s">
        <v>581</v>
      </c>
      <c r="B1" s="268"/>
      <c r="C1" s="268"/>
      <c r="D1" s="268"/>
      <c r="E1" s="268"/>
      <c r="F1" s="269"/>
    </row>
    <row r="2" spans="1:6" s="263" customFormat="1" ht="24.75" customHeight="1">
      <c r="A2" s="491" t="s">
        <v>135</v>
      </c>
      <c r="B2" s="492"/>
      <c r="C2" s="492"/>
      <c r="D2" s="492"/>
      <c r="E2" s="492"/>
      <c r="F2" s="492"/>
    </row>
    <row r="3" spans="1:6" s="263" customFormat="1" ht="20.25" customHeight="1">
      <c r="A3" s="420" t="s">
        <v>136</v>
      </c>
      <c r="B3" s="421"/>
      <c r="C3" s="421"/>
      <c r="D3" s="421"/>
      <c r="E3" s="421"/>
      <c r="F3" s="421"/>
    </row>
    <row r="4" spans="1:6" s="263" customFormat="1" ht="21" customHeight="1">
      <c r="A4" s="270"/>
      <c r="B4" s="422">
        <v>44467</v>
      </c>
      <c r="C4" s="422"/>
      <c r="D4" s="422"/>
      <c r="E4" s="422"/>
      <c r="F4" s="271" t="s">
        <v>2</v>
      </c>
    </row>
    <row r="5" spans="1:6" s="264" customFormat="1" ht="24.95" customHeight="1">
      <c r="A5" s="272" t="s">
        <v>137</v>
      </c>
      <c r="B5" s="273" t="s">
        <v>120</v>
      </c>
      <c r="C5" s="273" t="s">
        <v>138</v>
      </c>
      <c r="D5" s="273" t="s">
        <v>139</v>
      </c>
      <c r="E5" s="273" t="s">
        <v>140</v>
      </c>
      <c r="F5" s="272" t="s">
        <v>141</v>
      </c>
    </row>
    <row r="6" spans="1:6" s="265" customFormat="1" ht="24.95" customHeight="1">
      <c r="A6" s="242" t="s">
        <v>142</v>
      </c>
      <c r="B6" s="242">
        <v>50</v>
      </c>
      <c r="C6" s="274">
        <v>10</v>
      </c>
      <c r="D6" s="274">
        <f t="shared" ref="D6:D13" si="0">C6-B6</f>
        <v>-40</v>
      </c>
      <c r="E6" s="275">
        <f t="shared" ref="E6:E13" si="1">D6</f>
        <v>-40</v>
      </c>
      <c r="F6" s="276" t="s">
        <v>143</v>
      </c>
    </row>
    <row r="7" spans="1:6" s="266" customFormat="1" ht="24.95" customHeight="1">
      <c r="A7" s="242" t="s">
        <v>144</v>
      </c>
      <c r="B7" s="242">
        <v>50</v>
      </c>
      <c r="C7" s="277">
        <v>100</v>
      </c>
      <c r="D7" s="277">
        <f t="shared" si="0"/>
        <v>50</v>
      </c>
      <c r="E7" s="278">
        <f t="shared" si="1"/>
        <v>50</v>
      </c>
      <c r="F7" s="279" t="s">
        <v>145</v>
      </c>
    </row>
    <row r="8" spans="1:6" s="265" customFormat="1" ht="24.95" customHeight="1">
      <c r="A8" s="242" t="s">
        <v>146</v>
      </c>
      <c r="B8" s="242">
        <v>300</v>
      </c>
      <c r="C8" s="277">
        <v>400</v>
      </c>
      <c r="D8" s="277">
        <f t="shared" si="0"/>
        <v>100</v>
      </c>
      <c r="E8" s="278">
        <f t="shared" si="1"/>
        <v>100</v>
      </c>
      <c r="F8" s="279" t="s">
        <v>145</v>
      </c>
    </row>
    <row r="9" spans="1:6" s="265" customFormat="1" ht="24.95" customHeight="1">
      <c r="A9" s="242" t="s">
        <v>147</v>
      </c>
      <c r="B9" s="242">
        <v>50</v>
      </c>
      <c r="C9" s="277">
        <v>137</v>
      </c>
      <c r="D9" s="277">
        <f t="shared" si="0"/>
        <v>87</v>
      </c>
      <c r="E9" s="278">
        <f t="shared" si="1"/>
        <v>87</v>
      </c>
      <c r="F9" s="279" t="s">
        <v>145</v>
      </c>
    </row>
    <row r="10" spans="1:6" s="265" customFormat="1" ht="24.95" customHeight="1">
      <c r="A10" s="242" t="s">
        <v>148</v>
      </c>
      <c r="B10" s="242">
        <v>183</v>
      </c>
      <c r="C10" s="277">
        <v>100</v>
      </c>
      <c r="D10" s="277">
        <f t="shared" si="0"/>
        <v>-83</v>
      </c>
      <c r="E10" s="278">
        <f t="shared" si="1"/>
        <v>-83</v>
      </c>
      <c r="F10" s="279" t="s">
        <v>149</v>
      </c>
    </row>
    <row r="11" spans="1:6" s="266" customFormat="1" ht="24.95" customHeight="1">
      <c r="A11" s="242" t="s">
        <v>150</v>
      </c>
      <c r="B11" s="242">
        <v>1200</v>
      </c>
      <c r="C11" s="277">
        <v>1160</v>
      </c>
      <c r="D11" s="277">
        <f t="shared" si="0"/>
        <v>-40</v>
      </c>
      <c r="E11" s="278">
        <f t="shared" si="1"/>
        <v>-40</v>
      </c>
      <c r="F11" s="279" t="s">
        <v>151</v>
      </c>
    </row>
    <row r="12" spans="1:6" s="265" customFormat="1" ht="24.95" customHeight="1">
      <c r="A12" s="242" t="s">
        <v>152</v>
      </c>
      <c r="B12" s="242">
        <v>50</v>
      </c>
      <c r="C12" s="277"/>
      <c r="D12" s="277">
        <f t="shared" si="0"/>
        <v>-50</v>
      </c>
      <c r="E12" s="278">
        <f t="shared" si="1"/>
        <v>-50</v>
      </c>
      <c r="F12" s="279" t="s">
        <v>153</v>
      </c>
    </row>
    <row r="13" spans="1:6" s="266" customFormat="1" ht="24.95" customHeight="1">
      <c r="A13" s="242" t="s">
        <v>154</v>
      </c>
      <c r="B13" s="242">
        <v>240</v>
      </c>
      <c r="C13" s="277">
        <v>224</v>
      </c>
      <c r="D13" s="277">
        <f t="shared" si="0"/>
        <v>-16</v>
      </c>
      <c r="E13" s="278">
        <f t="shared" si="1"/>
        <v>-16</v>
      </c>
      <c r="F13" s="279" t="s">
        <v>155</v>
      </c>
    </row>
    <row r="14" spans="1:6" s="266" customFormat="1" ht="24.95" customHeight="1">
      <c r="A14" s="242" t="s">
        <v>156</v>
      </c>
      <c r="B14" s="280">
        <v>2000</v>
      </c>
      <c r="C14" s="277">
        <v>1107</v>
      </c>
      <c r="D14" s="277">
        <f t="shared" ref="D14:D31" si="2">C14-B14</f>
        <v>-893</v>
      </c>
      <c r="E14" s="278">
        <f t="shared" ref="E14:E31" si="3">D14</f>
        <v>-893</v>
      </c>
      <c r="F14" s="279" t="s">
        <v>145</v>
      </c>
    </row>
    <row r="15" spans="1:6" s="266" customFormat="1" ht="24.95" customHeight="1">
      <c r="A15" s="242" t="s">
        <v>157</v>
      </c>
      <c r="B15" s="242">
        <v>2717.55</v>
      </c>
      <c r="C15" s="277">
        <v>1617.55</v>
      </c>
      <c r="D15" s="277">
        <f t="shared" si="2"/>
        <v>-1100</v>
      </c>
      <c r="E15" s="278">
        <f t="shared" si="3"/>
        <v>-1100</v>
      </c>
      <c r="F15" s="279" t="s">
        <v>158</v>
      </c>
    </row>
    <row r="16" spans="1:6" s="266" customFormat="1" ht="24.95" customHeight="1">
      <c r="A16" s="242" t="s">
        <v>159</v>
      </c>
      <c r="B16" s="242">
        <v>60</v>
      </c>
      <c r="C16" s="277">
        <v>1086</v>
      </c>
      <c r="D16" s="277">
        <f t="shared" si="2"/>
        <v>1026</v>
      </c>
      <c r="E16" s="278">
        <f t="shared" si="3"/>
        <v>1026</v>
      </c>
      <c r="F16" s="279" t="s">
        <v>145</v>
      </c>
    </row>
    <row r="17" spans="1:6" s="266" customFormat="1" ht="24.95" customHeight="1">
      <c r="A17" s="242" t="s">
        <v>160</v>
      </c>
      <c r="B17" s="242">
        <v>2000</v>
      </c>
      <c r="C17" s="277">
        <v>3268</v>
      </c>
      <c r="D17" s="277">
        <f t="shared" si="2"/>
        <v>1268</v>
      </c>
      <c r="E17" s="278">
        <f t="shared" si="3"/>
        <v>1268</v>
      </c>
      <c r="F17" s="279" t="s">
        <v>145</v>
      </c>
    </row>
    <row r="18" spans="1:6" s="266" customFormat="1" ht="24.95" customHeight="1">
      <c r="A18" s="242" t="s">
        <v>161</v>
      </c>
      <c r="B18" s="242">
        <v>100</v>
      </c>
      <c r="C18" s="277">
        <v>120</v>
      </c>
      <c r="D18" s="277">
        <f t="shared" si="2"/>
        <v>20</v>
      </c>
      <c r="E18" s="278">
        <f t="shared" si="3"/>
        <v>20</v>
      </c>
      <c r="F18" s="279" t="s">
        <v>145</v>
      </c>
    </row>
    <row r="19" spans="1:6" s="266" customFormat="1" ht="24.95" customHeight="1">
      <c r="A19" s="242" t="s">
        <v>162</v>
      </c>
      <c r="B19" s="280">
        <v>934</v>
      </c>
      <c r="C19" s="277">
        <v>1040</v>
      </c>
      <c r="D19" s="277">
        <f t="shared" si="2"/>
        <v>106</v>
      </c>
      <c r="E19" s="278">
        <f t="shared" si="3"/>
        <v>106</v>
      </c>
      <c r="F19" s="279" t="s">
        <v>145</v>
      </c>
    </row>
    <row r="20" spans="1:6" s="266" customFormat="1" ht="24.95" customHeight="1">
      <c r="A20" s="242" t="s">
        <v>163</v>
      </c>
      <c r="B20" s="281">
        <v>200</v>
      </c>
      <c r="C20" s="277">
        <v>480</v>
      </c>
      <c r="D20" s="277">
        <f t="shared" si="2"/>
        <v>280</v>
      </c>
      <c r="E20" s="278">
        <f t="shared" si="3"/>
        <v>280</v>
      </c>
      <c r="F20" s="279" t="s">
        <v>145</v>
      </c>
    </row>
    <row r="21" spans="1:6" s="266" customFormat="1" ht="24.95" customHeight="1">
      <c r="A21" s="280" t="s">
        <v>164</v>
      </c>
      <c r="B21" s="282">
        <v>20</v>
      </c>
      <c r="C21" s="277">
        <v>120</v>
      </c>
      <c r="D21" s="277">
        <f t="shared" si="2"/>
        <v>100</v>
      </c>
      <c r="E21" s="278">
        <f t="shared" si="3"/>
        <v>100</v>
      </c>
      <c r="F21" s="279" t="s">
        <v>165</v>
      </c>
    </row>
    <row r="22" spans="1:6" s="266" customFormat="1" ht="24.95" customHeight="1">
      <c r="A22" s="242" t="s">
        <v>166</v>
      </c>
      <c r="B22" s="277">
        <v>50</v>
      </c>
      <c r="C22" s="277">
        <v>183.9</v>
      </c>
      <c r="D22" s="277">
        <f t="shared" si="2"/>
        <v>133.9</v>
      </c>
      <c r="E22" s="278">
        <f t="shared" si="3"/>
        <v>133.9</v>
      </c>
      <c r="F22" s="279" t="s">
        <v>145</v>
      </c>
    </row>
    <row r="23" spans="1:6" s="266" customFormat="1" ht="24.95" customHeight="1">
      <c r="A23" s="242" t="s">
        <v>167</v>
      </c>
      <c r="B23" s="277">
        <v>50</v>
      </c>
      <c r="C23" s="277">
        <v>237</v>
      </c>
      <c r="D23" s="277">
        <f t="shared" si="2"/>
        <v>187</v>
      </c>
      <c r="E23" s="278">
        <f t="shared" si="3"/>
        <v>187</v>
      </c>
      <c r="F23" s="279" t="s">
        <v>145</v>
      </c>
    </row>
    <row r="24" spans="1:6" s="266" customFormat="1" ht="24.95" customHeight="1">
      <c r="A24" s="242" t="s">
        <v>168</v>
      </c>
      <c r="B24" s="277">
        <v>40</v>
      </c>
      <c r="C24" s="277">
        <v>100</v>
      </c>
      <c r="D24" s="277">
        <f t="shared" si="2"/>
        <v>60</v>
      </c>
      <c r="E24" s="278">
        <f t="shared" si="3"/>
        <v>60</v>
      </c>
      <c r="F24" s="279" t="s">
        <v>145</v>
      </c>
    </row>
    <row r="25" spans="1:6" s="266" customFormat="1" ht="24.95" customHeight="1">
      <c r="A25" s="242" t="s">
        <v>169</v>
      </c>
      <c r="B25" s="277">
        <v>100</v>
      </c>
      <c r="C25" s="277">
        <v>145</v>
      </c>
      <c r="D25" s="277">
        <f t="shared" si="2"/>
        <v>45</v>
      </c>
      <c r="E25" s="278">
        <f t="shared" si="3"/>
        <v>45</v>
      </c>
      <c r="F25" s="279" t="s">
        <v>145</v>
      </c>
    </row>
    <row r="26" spans="1:6" s="266" customFormat="1" ht="24.95" customHeight="1">
      <c r="A26" s="242" t="s">
        <v>170</v>
      </c>
      <c r="B26" s="277">
        <v>100</v>
      </c>
      <c r="C26" s="277">
        <v>100.5</v>
      </c>
      <c r="D26" s="277">
        <f t="shared" si="2"/>
        <v>0.5</v>
      </c>
      <c r="E26" s="278">
        <f t="shared" si="3"/>
        <v>0.5</v>
      </c>
      <c r="F26" s="279" t="s">
        <v>145</v>
      </c>
    </row>
    <row r="27" spans="1:6" s="266" customFormat="1" ht="24.95" customHeight="1">
      <c r="A27" s="242" t="s">
        <v>171</v>
      </c>
      <c r="B27" s="277">
        <v>958.2</v>
      </c>
      <c r="C27" s="277"/>
      <c r="D27" s="277">
        <f t="shared" si="2"/>
        <v>-958.2</v>
      </c>
      <c r="E27" s="278">
        <f t="shared" si="3"/>
        <v>-958.2</v>
      </c>
      <c r="F27" s="279" t="s">
        <v>172</v>
      </c>
    </row>
    <row r="28" spans="1:6" s="266" customFormat="1" ht="24.95" customHeight="1">
      <c r="A28" s="242" t="s">
        <v>173</v>
      </c>
      <c r="B28" s="277">
        <v>400</v>
      </c>
      <c r="C28" s="277"/>
      <c r="D28" s="277">
        <f t="shared" si="2"/>
        <v>-400</v>
      </c>
      <c r="E28" s="278">
        <f t="shared" si="3"/>
        <v>-400</v>
      </c>
      <c r="F28" s="279" t="s">
        <v>172</v>
      </c>
    </row>
    <row r="29" spans="1:6" s="266" customFormat="1" ht="24.95" customHeight="1">
      <c r="A29" s="242" t="s">
        <v>174</v>
      </c>
      <c r="B29" s="277">
        <v>800</v>
      </c>
      <c r="C29" s="277"/>
      <c r="D29" s="277">
        <f t="shared" si="2"/>
        <v>-800</v>
      </c>
      <c r="E29" s="278">
        <f t="shared" si="3"/>
        <v>-800</v>
      </c>
      <c r="F29" s="279" t="s">
        <v>172</v>
      </c>
    </row>
    <row r="30" spans="1:6" s="266" customFormat="1" ht="24.95" customHeight="1">
      <c r="A30" s="242" t="s">
        <v>175</v>
      </c>
      <c r="B30" s="277">
        <v>800</v>
      </c>
      <c r="C30" s="277"/>
      <c r="D30" s="277">
        <f t="shared" si="2"/>
        <v>-800</v>
      </c>
      <c r="E30" s="278">
        <f t="shared" si="3"/>
        <v>-800</v>
      </c>
      <c r="F30" s="279" t="s">
        <v>172</v>
      </c>
    </row>
    <row r="31" spans="1:6" s="266" customFormat="1" ht="24.95" customHeight="1">
      <c r="A31" s="242" t="s">
        <v>176</v>
      </c>
      <c r="B31" s="277">
        <v>200</v>
      </c>
      <c r="C31" s="277"/>
      <c r="D31" s="277">
        <f t="shared" si="2"/>
        <v>-200</v>
      </c>
      <c r="E31" s="278">
        <f t="shared" si="3"/>
        <v>-200</v>
      </c>
      <c r="F31" s="279" t="s">
        <v>172</v>
      </c>
    </row>
    <row r="32" spans="1:6" s="265" customFormat="1" ht="24.95" customHeight="1">
      <c r="A32" s="283" t="s">
        <v>89</v>
      </c>
      <c r="B32" s="284">
        <f>SUM(B6:B31)</f>
        <v>13652.75</v>
      </c>
      <c r="C32" s="285">
        <f>SUM(C6:C31)</f>
        <v>11735.95</v>
      </c>
      <c r="D32" s="285">
        <f>SUM(D6:D31)</f>
        <v>-1916.8</v>
      </c>
      <c r="E32" s="285">
        <f>SUM(E6:E31)</f>
        <v>-1916.8</v>
      </c>
      <c r="F32" s="286"/>
    </row>
    <row r="33" spans="1:5" s="266" customFormat="1" ht="14.25" customHeight="1">
      <c r="A33" s="287"/>
      <c r="B33" s="288"/>
      <c r="C33" s="288"/>
      <c r="D33" s="288"/>
      <c r="E33" s="288"/>
    </row>
  </sheetData>
  <mergeCells count="3">
    <mergeCell ref="A2:F2"/>
    <mergeCell ref="A3:F3"/>
    <mergeCell ref="B4:E4"/>
  </mergeCells>
  <phoneticPr fontId="59" type="noConversion"/>
  <conditionalFormatting sqref="B16">
    <cfRule type="cellIs" dxfId="3" priority="1" stopIfTrue="1" operator="lessThan">
      <formula>0</formula>
    </cfRule>
  </conditionalFormatting>
  <printOptions horizontalCentered="1"/>
  <pageMargins left="0.9055118110236221" right="0.9055118110236221" top="1.1811023622047245" bottom="1.1811023622047245" header="0.51181102362204722" footer="0.51181102362204722"/>
  <pageSetup paperSize="8" orientation="landscape" r:id="rId1"/>
  <headerFooter>
    <oddFooter>&amp;C&amp;"Helvetica Neue,常规"&amp;P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showGridLines="0" topLeftCell="A34" workbookViewId="0">
      <selection activeCell="C14" sqref="C14"/>
    </sheetView>
  </sheetViews>
  <sheetFormatPr defaultColWidth="9" defaultRowHeight="14.25" customHeight="1"/>
  <cols>
    <col min="1" max="1" width="53.375" style="230" customWidth="1"/>
    <col min="2" max="2" width="16.25" style="231" customWidth="1"/>
    <col min="3" max="3" width="14.75" style="231" customWidth="1"/>
    <col min="4" max="4" width="16" style="231" customWidth="1"/>
    <col min="5" max="5" width="14.875" style="231" customWidth="1"/>
    <col min="6" max="6" width="46.375" style="231" customWidth="1"/>
    <col min="7" max="16384" width="9" style="231"/>
  </cols>
  <sheetData>
    <row r="1" spans="1:6" s="227" customFormat="1" ht="19.5" customHeight="1">
      <c r="A1" s="498" t="s">
        <v>582</v>
      </c>
      <c r="B1" s="233"/>
      <c r="C1" s="233"/>
      <c r="D1" s="233"/>
      <c r="E1" s="233"/>
      <c r="F1" s="233"/>
    </row>
    <row r="2" spans="1:6" s="227" customFormat="1" ht="24.75" customHeight="1">
      <c r="A2" s="493" t="s">
        <v>135</v>
      </c>
      <c r="B2" s="494"/>
      <c r="C2" s="494"/>
      <c r="D2" s="494"/>
      <c r="E2" s="494"/>
      <c r="F2" s="494"/>
    </row>
    <row r="3" spans="1:6" s="227" customFormat="1" ht="20.25" customHeight="1">
      <c r="A3" s="495" t="s">
        <v>177</v>
      </c>
      <c r="B3" s="496"/>
      <c r="C3" s="496"/>
      <c r="D3" s="496"/>
      <c r="E3" s="496"/>
      <c r="F3" s="496"/>
    </row>
    <row r="4" spans="1:6" s="227" customFormat="1" ht="21" customHeight="1">
      <c r="A4" s="234"/>
      <c r="B4" s="425">
        <v>44460</v>
      </c>
      <c r="C4" s="425"/>
      <c r="D4" s="425"/>
      <c r="E4" s="425"/>
      <c r="F4" s="235" t="s">
        <v>2</v>
      </c>
    </row>
    <row r="5" spans="1:6" s="228" customFormat="1" ht="38.1" customHeight="1">
      <c r="A5" s="236" t="s">
        <v>137</v>
      </c>
      <c r="B5" s="237" t="s">
        <v>120</v>
      </c>
      <c r="C5" s="237" t="s">
        <v>138</v>
      </c>
      <c r="D5" s="237" t="s">
        <v>139</v>
      </c>
      <c r="E5" s="237" t="s">
        <v>140</v>
      </c>
      <c r="F5" s="236" t="s">
        <v>141</v>
      </c>
    </row>
    <row r="6" spans="1:6" s="229" customFormat="1" ht="24.95" customHeight="1">
      <c r="A6" s="251" t="s">
        <v>178</v>
      </c>
      <c r="B6" s="252"/>
      <c r="C6" s="239">
        <v>118</v>
      </c>
      <c r="D6" s="239">
        <f>C6-B6</f>
        <v>118</v>
      </c>
      <c r="E6" s="239">
        <f>D6</f>
        <v>118</v>
      </c>
      <c r="F6" s="241" t="s">
        <v>179</v>
      </c>
    </row>
    <row r="7" spans="1:6" s="229" customFormat="1" ht="24.95" customHeight="1">
      <c r="A7" s="253" t="s">
        <v>180</v>
      </c>
      <c r="B7" s="254"/>
      <c r="C7" s="243">
        <v>55.1</v>
      </c>
      <c r="D7" s="239">
        <f t="shared" ref="D7:D45" si="0">C7-B7</f>
        <v>55.1</v>
      </c>
      <c r="E7" s="239">
        <f t="shared" ref="E7:E45" si="1">D7</f>
        <v>55.1</v>
      </c>
      <c r="F7" s="241" t="s">
        <v>181</v>
      </c>
    </row>
    <row r="8" spans="1:6" s="229" customFormat="1" ht="24.95" customHeight="1">
      <c r="A8" s="245" t="s">
        <v>182</v>
      </c>
      <c r="B8" s="246"/>
      <c r="C8" s="247">
        <v>103.25</v>
      </c>
      <c r="D8" s="239">
        <f t="shared" si="0"/>
        <v>103.25</v>
      </c>
      <c r="E8" s="239">
        <f t="shared" si="1"/>
        <v>103.25</v>
      </c>
      <c r="F8" s="241" t="s">
        <v>179</v>
      </c>
    </row>
    <row r="9" spans="1:6" s="229" customFormat="1" ht="24.95" customHeight="1">
      <c r="A9" s="245" t="s">
        <v>183</v>
      </c>
      <c r="B9" s="246"/>
      <c r="C9" s="247">
        <v>100</v>
      </c>
      <c r="D9" s="239">
        <f t="shared" si="0"/>
        <v>100</v>
      </c>
      <c r="E9" s="239">
        <f t="shared" si="1"/>
        <v>100</v>
      </c>
      <c r="F9" s="241" t="s">
        <v>179</v>
      </c>
    </row>
    <row r="10" spans="1:6" s="229" customFormat="1" ht="24.95" customHeight="1">
      <c r="A10" s="245" t="s">
        <v>184</v>
      </c>
      <c r="B10" s="246"/>
      <c r="C10" s="247">
        <v>670</v>
      </c>
      <c r="D10" s="239">
        <f t="shared" si="0"/>
        <v>670</v>
      </c>
      <c r="E10" s="239">
        <f t="shared" si="1"/>
        <v>670</v>
      </c>
      <c r="F10" s="241" t="s">
        <v>179</v>
      </c>
    </row>
    <row r="11" spans="1:6" s="229" customFormat="1" ht="24.95" customHeight="1">
      <c r="A11" s="245" t="s">
        <v>185</v>
      </c>
      <c r="B11" s="246"/>
      <c r="C11" s="247">
        <v>160</v>
      </c>
      <c r="D11" s="239">
        <f t="shared" si="0"/>
        <v>160</v>
      </c>
      <c r="E11" s="239">
        <f t="shared" si="1"/>
        <v>160</v>
      </c>
      <c r="F11" s="241" t="s">
        <v>186</v>
      </c>
    </row>
    <row r="12" spans="1:6" s="229" customFormat="1" ht="24.95" customHeight="1">
      <c r="A12" s="245" t="s">
        <v>187</v>
      </c>
      <c r="B12" s="246"/>
      <c r="C12" s="247">
        <v>310.2</v>
      </c>
      <c r="D12" s="239">
        <f t="shared" si="0"/>
        <v>310.2</v>
      </c>
      <c r="E12" s="239">
        <f t="shared" si="1"/>
        <v>310.2</v>
      </c>
      <c r="F12" s="241" t="s">
        <v>188</v>
      </c>
    </row>
    <row r="13" spans="1:6" s="229" customFormat="1" ht="24.95" customHeight="1">
      <c r="A13" s="245" t="s">
        <v>189</v>
      </c>
      <c r="B13" s="246"/>
      <c r="C13" s="247">
        <v>121</v>
      </c>
      <c r="D13" s="239">
        <f t="shared" si="0"/>
        <v>121</v>
      </c>
      <c r="E13" s="239">
        <f t="shared" si="1"/>
        <v>121</v>
      </c>
      <c r="F13" s="241" t="s">
        <v>179</v>
      </c>
    </row>
    <row r="14" spans="1:6" s="229" customFormat="1" ht="24.95" customHeight="1">
      <c r="A14" s="245" t="s">
        <v>190</v>
      </c>
      <c r="B14" s="246"/>
      <c r="C14" s="247">
        <v>25</v>
      </c>
      <c r="D14" s="239">
        <f t="shared" si="0"/>
        <v>25</v>
      </c>
      <c r="E14" s="239">
        <f t="shared" si="1"/>
        <v>25</v>
      </c>
      <c r="F14" s="241" t="s">
        <v>179</v>
      </c>
    </row>
    <row r="15" spans="1:6" s="229" customFormat="1" ht="24.95" customHeight="1">
      <c r="A15" s="245" t="s">
        <v>191</v>
      </c>
      <c r="B15" s="246"/>
      <c r="C15" s="247">
        <v>858</v>
      </c>
      <c r="D15" s="239">
        <f t="shared" si="0"/>
        <v>858</v>
      </c>
      <c r="E15" s="239">
        <f t="shared" si="1"/>
        <v>858</v>
      </c>
      <c r="F15" s="241" t="s">
        <v>179</v>
      </c>
    </row>
    <row r="16" spans="1:6" s="229" customFormat="1" ht="24.95" customHeight="1">
      <c r="A16" s="245" t="s">
        <v>192</v>
      </c>
      <c r="B16" s="246"/>
      <c r="C16" s="247">
        <v>39</v>
      </c>
      <c r="D16" s="239">
        <f t="shared" si="0"/>
        <v>39</v>
      </c>
      <c r="E16" s="239">
        <f t="shared" si="1"/>
        <v>39</v>
      </c>
      <c r="F16" s="241" t="s">
        <v>188</v>
      </c>
    </row>
    <row r="17" spans="1:6" s="229" customFormat="1" ht="24.95" customHeight="1">
      <c r="A17" s="245" t="s">
        <v>193</v>
      </c>
      <c r="B17" s="246"/>
      <c r="C17" s="247">
        <v>186.31</v>
      </c>
      <c r="D17" s="239">
        <f t="shared" si="0"/>
        <v>186.31</v>
      </c>
      <c r="E17" s="239">
        <f t="shared" si="1"/>
        <v>186.31</v>
      </c>
      <c r="F17" s="241" t="s">
        <v>179</v>
      </c>
    </row>
    <row r="18" spans="1:6" s="229" customFormat="1" ht="24.95" customHeight="1">
      <c r="A18" s="245" t="s">
        <v>194</v>
      </c>
      <c r="B18" s="246"/>
      <c r="C18" s="247">
        <v>71</v>
      </c>
      <c r="D18" s="239">
        <f t="shared" si="0"/>
        <v>71</v>
      </c>
      <c r="E18" s="239">
        <f t="shared" si="1"/>
        <v>71</v>
      </c>
      <c r="F18" s="241" t="s">
        <v>179</v>
      </c>
    </row>
    <row r="19" spans="1:6" s="229" customFormat="1" ht="24.95" customHeight="1">
      <c r="A19" s="245" t="s">
        <v>195</v>
      </c>
      <c r="B19" s="246"/>
      <c r="C19" s="247">
        <v>58</v>
      </c>
      <c r="D19" s="239">
        <f t="shared" si="0"/>
        <v>58</v>
      </c>
      <c r="E19" s="239">
        <f t="shared" si="1"/>
        <v>58</v>
      </c>
      <c r="F19" s="241" t="s">
        <v>179</v>
      </c>
    </row>
    <row r="20" spans="1:6" s="229" customFormat="1" ht="24.95" customHeight="1">
      <c r="A20" s="245" t="s">
        <v>196</v>
      </c>
      <c r="B20" s="246"/>
      <c r="C20" s="247">
        <v>50</v>
      </c>
      <c r="D20" s="239">
        <f t="shared" si="0"/>
        <v>50</v>
      </c>
      <c r="E20" s="239">
        <f t="shared" si="1"/>
        <v>50</v>
      </c>
      <c r="F20" s="241" t="s">
        <v>179</v>
      </c>
    </row>
    <row r="21" spans="1:6" s="229" customFormat="1" ht="24.95" customHeight="1">
      <c r="A21" s="245" t="s">
        <v>197</v>
      </c>
      <c r="B21" s="246"/>
      <c r="C21" s="247">
        <v>147.5</v>
      </c>
      <c r="D21" s="239">
        <f t="shared" si="0"/>
        <v>147.5</v>
      </c>
      <c r="E21" s="239">
        <f t="shared" si="1"/>
        <v>147.5</v>
      </c>
      <c r="F21" s="241" t="s">
        <v>188</v>
      </c>
    </row>
    <row r="22" spans="1:6" s="229" customFormat="1" ht="24.95" customHeight="1">
      <c r="A22" s="245" t="s">
        <v>198</v>
      </c>
      <c r="B22" s="246"/>
      <c r="C22" s="247">
        <v>37.130000000000003</v>
      </c>
      <c r="D22" s="239">
        <f t="shared" si="0"/>
        <v>37.130000000000003</v>
      </c>
      <c r="E22" s="239">
        <f t="shared" si="1"/>
        <v>37.130000000000003</v>
      </c>
      <c r="F22" s="241" t="s">
        <v>188</v>
      </c>
    </row>
    <row r="23" spans="1:6" s="229" customFormat="1" ht="24.95" customHeight="1">
      <c r="A23" s="245" t="s">
        <v>199</v>
      </c>
      <c r="B23" s="255"/>
      <c r="C23" s="256">
        <v>127</v>
      </c>
      <c r="D23" s="239">
        <f t="shared" si="0"/>
        <v>127</v>
      </c>
      <c r="E23" s="239">
        <f t="shared" si="1"/>
        <v>127</v>
      </c>
      <c r="F23" s="241" t="s">
        <v>188</v>
      </c>
    </row>
    <row r="24" spans="1:6" s="229" customFormat="1" ht="24.95" customHeight="1">
      <c r="A24" s="245" t="s">
        <v>200</v>
      </c>
      <c r="B24" s="255"/>
      <c r="C24" s="256">
        <v>114</v>
      </c>
      <c r="D24" s="239">
        <f t="shared" si="0"/>
        <v>114</v>
      </c>
      <c r="E24" s="239">
        <f t="shared" si="1"/>
        <v>114</v>
      </c>
      <c r="F24" s="241" t="s">
        <v>188</v>
      </c>
    </row>
    <row r="25" spans="1:6" s="229" customFormat="1" ht="24.95" customHeight="1">
      <c r="A25" s="245" t="s">
        <v>201</v>
      </c>
      <c r="B25" s="255"/>
      <c r="C25" s="256">
        <v>25</v>
      </c>
      <c r="D25" s="239">
        <f t="shared" si="0"/>
        <v>25</v>
      </c>
      <c r="E25" s="239">
        <f t="shared" si="1"/>
        <v>25</v>
      </c>
      <c r="F25" s="241" t="s">
        <v>188</v>
      </c>
    </row>
    <row r="26" spans="1:6" s="229" customFormat="1" ht="24.95" customHeight="1">
      <c r="A26" s="245" t="s">
        <v>202</v>
      </c>
      <c r="B26" s="255"/>
      <c r="C26" s="256">
        <v>185</v>
      </c>
      <c r="D26" s="239">
        <f t="shared" si="0"/>
        <v>185</v>
      </c>
      <c r="E26" s="239">
        <f t="shared" si="1"/>
        <v>185</v>
      </c>
      <c r="F26" s="241" t="s">
        <v>188</v>
      </c>
    </row>
    <row r="27" spans="1:6" s="229" customFormat="1" ht="24.95" customHeight="1">
      <c r="A27" s="245" t="s">
        <v>203</v>
      </c>
      <c r="B27" s="255"/>
      <c r="C27" s="256">
        <v>100.2</v>
      </c>
      <c r="D27" s="239">
        <f t="shared" si="0"/>
        <v>100.2</v>
      </c>
      <c r="E27" s="239">
        <f t="shared" si="1"/>
        <v>100.2</v>
      </c>
      <c r="F27" s="241" t="s">
        <v>188</v>
      </c>
    </row>
    <row r="28" spans="1:6" s="229" customFormat="1" ht="24.95" customHeight="1">
      <c r="A28" s="245" t="s">
        <v>204</v>
      </c>
      <c r="B28" s="255"/>
      <c r="C28" s="256">
        <v>24</v>
      </c>
      <c r="D28" s="239">
        <f t="shared" si="0"/>
        <v>24</v>
      </c>
      <c r="E28" s="239">
        <f t="shared" si="1"/>
        <v>24</v>
      </c>
      <c r="F28" s="241" t="s">
        <v>188</v>
      </c>
    </row>
    <row r="29" spans="1:6" s="229" customFormat="1" ht="24.95" customHeight="1">
      <c r="A29" s="245" t="s">
        <v>205</v>
      </c>
      <c r="B29" s="255"/>
      <c r="C29" s="256">
        <v>107</v>
      </c>
      <c r="D29" s="239">
        <f t="shared" si="0"/>
        <v>107</v>
      </c>
      <c r="E29" s="239">
        <f t="shared" si="1"/>
        <v>107</v>
      </c>
      <c r="F29" s="241" t="s">
        <v>179</v>
      </c>
    </row>
    <row r="30" spans="1:6" s="229" customFormat="1" ht="24.95" customHeight="1">
      <c r="A30" s="245" t="s">
        <v>206</v>
      </c>
      <c r="B30" s="255"/>
      <c r="C30" s="256">
        <v>136</v>
      </c>
      <c r="D30" s="239">
        <f t="shared" si="0"/>
        <v>136</v>
      </c>
      <c r="E30" s="239">
        <f t="shared" si="1"/>
        <v>136</v>
      </c>
      <c r="F30" s="241" t="s">
        <v>188</v>
      </c>
    </row>
    <row r="31" spans="1:6" s="229" customFormat="1" ht="24.95" customHeight="1">
      <c r="A31" s="257" t="s">
        <v>207</v>
      </c>
      <c r="B31" s="255"/>
      <c r="C31" s="256">
        <v>268</v>
      </c>
      <c r="D31" s="239">
        <f t="shared" si="0"/>
        <v>268</v>
      </c>
      <c r="E31" s="239">
        <f t="shared" si="1"/>
        <v>268</v>
      </c>
      <c r="F31" s="241" t="s">
        <v>208</v>
      </c>
    </row>
    <row r="32" spans="1:6" s="229" customFormat="1" ht="24.95" customHeight="1">
      <c r="A32" s="245" t="s">
        <v>209</v>
      </c>
      <c r="B32" s="255"/>
      <c r="C32" s="256">
        <v>900</v>
      </c>
      <c r="D32" s="239">
        <f t="shared" si="0"/>
        <v>900</v>
      </c>
      <c r="E32" s="239">
        <f t="shared" si="1"/>
        <v>900</v>
      </c>
      <c r="F32" s="241" t="s">
        <v>179</v>
      </c>
    </row>
    <row r="33" spans="1:6" s="229" customFormat="1" ht="24.95" customHeight="1">
      <c r="A33" s="245" t="s">
        <v>210</v>
      </c>
      <c r="B33" s="255"/>
      <c r="C33" s="256">
        <v>75</v>
      </c>
      <c r="D33" s="239">
        <f t="shared" si="0"/>
        <v>75</v>
      </c>
      <c r="E33" s="239">
        <f t="shared" si="1"/>
        <v>75</v>
      </c>
      <c r="F33" s="241" t="s">
        <v>188</v>
      </c>
    </row>
    <row r="34" spans="1:6" s="229" customFormat="1" ht="24.95" customHeight="1">
      <c r="A34" s="245" t="s">
        <v>211</v>
      </c>
      <c r="B34" s="255"/>
      <c r="C34" s="256">
        <v>100</v>
      </c>
      <c r="D34" s="239">
        <f t="shared" si="0"/>
        <v>100</v>
      </c>
      <c r="E34" s="239">
        <f t="shared" si="1"/>
        <v>100</v>
      </c>
      <c r="F34" s="241" t="s">
        <v>179</v>
      </c>
    </row>
    <row r="35" spans="1:6" s="229" customFormat="1" ht="24.95" customHeight="1">
      <c r="A35" s="245" t="s">
        <v>212</v>
      </c>
      <c r="B35" s="255"/>
      <c r="C35" s="256">
        <v>66.89</v>
      </c>
      <c r="D35" s="239">
        <f t="shared" si="0"/>
        <v>66.89</v>
      </c>
      <c r="E35" s="239">
        <f t="shared" si="1"/>
        <v>66.89</v>
      </c>
      <c r="F35" s="241" t="s">
        <v>188</v>
      </c>
    </row>
    <row r="36" spans="1:6" s="229" customFormat="1" ht="24.95" customHeight="1">
      <c r="A36" s="245" t="s">
        <v>213</v>
      </c>
      <c r="B36" s="255"/>
      <c r="C36" s="256">
        <v>134.5</v>
      </c>
      <c r="D36" s="239">
        <f t="shared" si="0"/>
        <v>134.5</v>
      </c>
      <c r="E36" s="239">
        <f t="shared" si="1"/>
        <v>134.5</v>
      </c>
      <c r="F36" s="241" t="s">
        <v>188</v>
      </c>
    </row>
    <row r="37" spans="1:6" s="229" customFormat="1" ht="24.95" customHeight="1">
      <c r="A37" s="245" t="s">
        <v>214</v>
      </c>
      <c r="B37" s="255"/>
      <c r="C37" s="256">
        <v>50</v>
      </c>
      <c r="D37" s="239">
        <f t="shared" si="0"/>
        <v>50</v>
      </c>
      <c r="E37" s="239">
        <f t="shared" si="1"/>
        <v>50</v>
      </c>
      <c r="F37" s="241" t="s">
        <v>179</v>
      </c>
    </row>
    <row r="38" spans="1:6" s="229" customFormat="1" ht="24.95" customHeight="1">
      <c r="A38" s="245" t="s">
        <v>215</v>
      </c>
      <c r="B38" s="255"/>
      <c r="C38" s="256">
        <v>27.5</v>
      </c>
      <c r="D38" s="239">
        <f t="shared" si="0"/>
        <v>27.5</v>
      </c>
      <c r="E38" s="239">
        <f t="shared" si="1"/>
        <v>27.5</v>
      </c>
      <c r="F38" s="241" t="s">
        <v>188</v>
      </c>
    </row>
    <row r="39" spans="1:6" s="229" customFormat="1" ht="24.95" customHeight="1">
      <c r="A39" s="245" t="s">
        <v>216</v>
      </c>
      <c r="B39" s="255"/>
      <c r="C39" s="256">
        <v>51.41</v>
      </c>
      <c r="D39" s="239">
        <f t="shared" si="0"/>
        <v>51.41</v>
      </c>
      <c r="E39" s="239">
        <f t="shared" si="1"/>
        <v>51.41</v>
      </c>
      <c r="F39" s="241" t="s">
        <v>188</v>
      </c>
    </row>
    <row r="40" spans="1:6" s="229" customFormat="1" ht="24.95" customHeight="1">
      <c r="A40" s="245" t="s">
        <v>217</v>
      </c>
      <c r="B40" s="255"/>
      <c r="C40" s="256">
        <v>50.91</v>
      </c>
      <c r="D40" s="239">
        <f t="shared" si="0"/>
        <v>50.91</v>
      </c>
      <c r="E40" s="239">
        <f t="shared" si="1"/>
        <v>50.91</v>
      </c>
      <c r="F40" s="241" t="s">
        <v>188</v>
      </c>
    </row>
    <row r="41" spans="1:6" s="229" customFormat="1" ht="24.95" customHeight="1">
      <c r="A41" s="245" t="s">
        <v>218</v>
      </c>
      <c r="B41" s="255"/>
      <c r="C41" s="256">
        <v>25</v>
      </c>
      <c r="D41" s="239">
        <f t="shared" si="0"/>
        <v>25</v>
      </c>
      <c r="E41" s="239">
        <f t="shared" si="1"/>
        <v>25</v>
      </c>
      <c r="F41" s="241" t="s">
        <v>179</v>
      </c>
    </row>
    <row r="42" spans="1:6" s="229" customFormat="1" ht="24.95" customHeight="1">
      <c r="A42" s="245" t="s">
        <v>219</v>
      </c>
      <c r="B42" s="255"/>
      <c r="C42" s="256">
        <v>20</v>
      </c>
      <c r="D42" s="239">
        <f t="shared" si="0"/>
        <v>20</v>
      </c>
      <c r="E42" s="239">
        <f t="shared" si="1"/>
        <v>20</v>
      </c>
      <c r="F42" s="241" t="s">
        <v>188</v>
      </c>
    </row>
    <row r="43" spans="1:6" s="229" customFormat="1" ht="24.95" customHeight="1">
      <c r="A43" s="245" t="s">
        <v>220</v>
      </c>
      <c r="B43" s="255"/>
      <c r="C43" s="256">
        <v>17</v>
      </c>
      <c r="D43" s="239">
        <f t="shared" si="0"/>
        <v>17</v>
      </c>
      <c r="E43" s="239">
        <f t="shared" si="1"/>
        <v>17</v>
      </c>
      <c r="F43" s="241"/>
    </row>
    <row r="44" spans="1:6" s="229" customFormat="1" ht="24.95" customHeight="1">
      <c r="A44" s="245" t="s">
        <v>221</v>
      </c>
      <c r="B44" s="255"/>
      <c r="C44" s="256">
        <v>3</v>
      </c>
      <c r="D44" s="239">
        <f t="shared" si="0"/>
        <v>3</v>
      </c>
      <c r="E44" s="239">
        <f t="shared" si="1"/>
        <v>3</v>
      </c>
      <c r="F44" s="241"/>
    </row>
    <row r="45" spans="1:6" s="250" customFormat="1" ht="24.95" customHeight="1">
      <c r="A45" s="258" t="s">
        <v>89</v>
      </c>
      <c r="B45" s="259"/>
      <c r="C45" s="260">
        <f>SUM(C6:C44)</f>
        <v>5716.9</v>
      </c>
      <c r="D45" s="261">
        <f t="shared" si="0"/>
        <v>5716.9</v>
      </c>
      <c r="E45" s="261">
        <f t="shared" si="1"/>
        <v>5716.9</v>
      </c>
      <c r="F45" s="262"/>
    </row>
  </sheetData>
  <mergeCells count="3">
    <mergeCell ref="A2:F2"/>
    <mergeCell ref="A3:F3"/>
    <mergeCell ref="B4:E4"/>
  </mergeCells>
  <phoneticPr fontId="59" type="noConversion"/>
  <conditionalFormatting sqref="B6:B22">
    <cfRule type="cellIs" dxfId="2" priority="1" stopIfTrue="1" operator="lessThan">
      <formula>0</formula>
    </cfRule>
  </conditionalFormatting>
  <printOptions horizontalCentered="1"/>
  <pageMargins left="0.9055118110236221" right="0.9055118110236221" top="1.1811023622047245" bottom="0.98425196850393704" header="0.51181102362204722" footer="0.51181102362204722"/>
  <pageSetup paperSize="8" orientation="landscape" r:id="rId1"/>
  <headerFooter>
    <oddFooter>&amp;C&amp;"Helvetica Neue,常规"&amp;P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showGridLines="0" workbookViewId="0">
      <selection activeCell="C14" sqref="C14"/>
    </sheetView>
  </sheetViews>
  <sheetFormatPr defaultColWidth="9" defaultRowHeight="14.25" customHeight="1"/>
  <cols>
    <col min="1" max="1" width="57.875" style="230" customWidth="1"/>
    <col min="2" max="2" width="17.375" style="231" customWidth="1"/>
    <col min="3" max="3" width="14.75" style="231" customWidth="1"/>
    <col min="4" max="4" width="14.875" style="231" customWidth="1"/>
    <col min="5" max="5" width="54.125" style="231" customWidth="1"/>
    <col min="6" max="16384" width="9" style="231"/>
  </cols>
  <sheetData>
    <row r="1" spans="1:5" s="227" customFormat="1" ht="19.5" customHeight="1">
      <c r="A1" s="498" t="s">
        <v>583</v>
      </c>
      <c r="B1" s="233"/>
      <c r="C1" s="233"/>
      <c r="D1" s="233"/>
      <c r="E1" s="233"/>
    </row>
    <row r="2" spans="1:5" s="227" customFormat="1" ht="24.75" customHeight="1">
      <c r="A2" s="493" t="s">
        <v>222</v>
      </c>
      <c r="B2" s="494"/>
      <c r="C2" s="494"/>
      <c r="D2" s="494"/>
      <c r="E2" s="494"/>
    </row>
    <row r="3" spans="1:5" s="227" customFormat="1" ht="20.25" customHeight="1">
      <c r="A3" s="423"/>
      <c r="B3" s="424"/>
      <c r="C3" s="424"/>
      <c r="D3" s="424"/>
      <c r="E3" s="424"/>
    </row>
    <row r="4" spans="1:5" s="227" customFormat="1" ht="21" customHeight="1">
      <c r="A4" s="234"/>
      <c r="B4" s="425"/>
      <c r="C4" s="425"/>
      <c r="D4" s="425"/>
      <c r="E4" s="235" t="s">
        <v>2</v>
      </c>
    </row>
    <row r="5" spans="1:5" s="228" customFormat="1" ht="27" customHeight="1">
      <c r="A5" s="236" t="s">
        <v>137</v>
      </c>
      <c r="B5" s="237" t="s">
        <v>120</v>
      </c>
      <c r="C5" s="237" t="s">
        <v>138</v>
      </c>
      <c r="D5" s="237" t="s">
        <v>140</v>
      </c>
      <c r="E5" s="236" t="s">
        <v>141</v>
      </c>
    </row>
    <row r="6" spans="1:5" s="229" customFormat="1" ht="27" customHeight="1">
      <c r="A6" s="249" t="s">
        <v>223</v>
      </c>
      <c r="B6" s="238"/>
      <c r="C6" s="239">
        <v>1200</v>
      </c>
      <c r="D6" s="240">
        <f t="shared" ref="D6:D11" si="0">C6-B6</f>
        <v>1200</v>
      </c>
      <c r="E6" s="241"/>
    </row>
    <row r="7" spans="1:5" s="229" customFormat="1" ht="27" customHeight="1">
      <c r="A7" s="249" t="s">
        <v>224</v>
      </c>
      <c r="B7" s="242"/>
      <c r="C7" s="243">
        <v>2900</v>
      </c>
      <c r="D7" s="240">
        <f t="shared" si="0"/>
        <v>2900</v>
      </c>
      <c r="E7" s="241"/>
    </row>
    <row r="8" spans="1:5" s="229" customFormat="1" ht="27" customHeight="1">
      <c r="A8" s="249" t="s">
        <v>225</v>
      </c>
      <c r="B8" s="242"/>
      <c r="C8" s="243">
        <v>700</v>
      </c>
      <c r="D8" s="240">
        <f t="shared" si="0"/>
        <v>700</v>
      </c>
      <c r="E8" s="241"/>
    </row>
    <row r="9" spans="1:5" s="229" customFormat="1" ht="27" customHeight="1">
      <c r="A9" s="249" t="s">
        <v>226</v>
      </c>
      <c r="B9" s="242"/>
      <c r="C9" s="243">
        <v>1300</v>
      </c>
      <c r="D9" s="240">
        <f t="shared" si="0"/>
        <v>1300</v>
      </c>
      <c r="E9" s="241"/>
    </row>
    <row r="10" spans="1:5" s="229" customFormat="1" ht="27" customHeight="1">
      <c r="A10" s="249" t="s">
        <v>227</v>
      </c>
      <c r="B10" s="242"/>
      <c r="C10" s="243">
        <v>1000</v>
      </c>
      <c r="D10" s="240">
        <f t="shared" si="0"/>
        <v>1000</v>
      </c>
      <c r="E10" s="241"/>
    </row>
    <row r="11" spans="1:5" s="229" customFormat="1" ht="27" customHeight="1">
      <c r="A11" s="249" t="s">
        <v>89</v>
      </c>
      <c r="B11" s="246"/>
      <c r="C11" s="247">
        <f>C6+C7+C8+C9+C10</f>
        <v>7100</v>
      </c>
      <c r="D11" s="248">
        <f t="shared" si="0"/>
        <v>7100</v>
      </c>
      <c r="E11" s="241"/>
    </row>
  </sheetData>
  <mergeCells count="3">
    <mergeCell ref="A2:E2"/>
    <mergeCell ref="A3:E3"/>
    <mergeCell ref="B4:D4"/>
  </mergeCells>
  <phoneticPr fontId="17" type="noConversion"/>
  <conditionalFormatting sqref="B11">
    <cfRule type="cellIs" dxfId="1" priority="1" stopIfTrue="1" operator="lessThan">
      <formula>0</formula>
    </cfRule>
  </conditionalFormatting>
  <printOptions horizontalCentered="1"/>
  <pageMargins left="0.9055118110236221" right="0.9055118110236221" top="0.98425196850393704" bottom="0.78740157480314965" header="0.51181102362204722" footer="0.51181102362204722"/>
  <pageSetup paperSize="8" orientation="landscape" r:id="rId1"/>
  <headerFooter>
    <oddFooter>&amp;C&amp;"Helvetica Neue,常规"&amp;P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showGridLines="0" workbookViewId="0">
      <selection activeCell="C14" sqref="C14"/>
    </sheetView>
  </sheetViews>
  <sheetFormatPr defaultColWidth="9" defaultRowHeight="14.25" customHeight="1"/>
  <cols>
    <col min="1" max="1" width="57.875" style="230" customWidth="1"/>
    <col min="2" max="2" width="17.375" style="231" customWidth="1"/>
    <col min="3" max="3" width="14.75" style="231" customWidth="1"/>
    <col min="4" max="4" width="16" style="231" customWidth="1"/>
    <col min="5" max="5" width="14.875" style="231" customWidth="1"/>
    <col min="6" max="6" width="43.375" style="231" customWidth="1"/>
    <col min="7" max="16384" width="9" style="231"/>
  </cols>
  <sheetData>
    <row r="1" spans="1:6" s="227" customFormat="1" ht="19.5" customHeight="1">
      <c r="A1" s="499" t="s">
        <v>584</v>
      </c>
      <c r="B1" s="233"/>
      <c r="C1" s="233"/>
      <c r="D1" s="233"/>
      <c r="E1" s="233"/>
      <c r="F1" s="233"/>
    </row>
    <row r="2" spans="1:6" s="227" customFormat="1" ht="24.75" customHeight="1">
      <c r="A2" s="493" t="s">
        <v>228</v>
      </c>
      <c r="B2" s="494"/>
      <c r="C2" s="494"/>
      <c r="D2" s="494"/>
      <c r="E2" s="494"/>
      <c r="F2" s="494"/>
    </row>
    <row r="3" spans="1:6" s="227" customFormat="1" ht="20.25" customHeight="1">
      <c r="A3" s="423"/>
      <c r="B3" s="424"/>
      <c r="C3" s="424"/>
      <c r="D3" s="424"/>
      <c r="E3" s="424"/>
      <c r="F3" s="424"/>
    </row>
    <row r="4" spans="1:6" s="227" customFormat="1" ht="21" customHeight="1">
      <c r="A4" s="234"/>
      <c r="B4" s="425"/>
      <c r="C4" s="425"/>
      <c r="D4" s="425"/>
      <c r="E4" s="425"/>
      <c r="F4" s="235" t="s">
        <v>2</v>
      </c>
    </row>
    <row r="5" spans="1:6" s="228" customFormat="1" ht="28.5" customHeight="1">
      <c r="A5" s="236" t="s">
        <v>137</v>
      </c>
      <c r="B5" s="237" t="s">
        <v>120</v>
      </c>
      <c r="C5" s="237" t="s">
        <v>138</v>
      </c>
      <c r="D5" s="237" t="s">
        <v>139</v>
      </c>
      <c r="E5" s="237" t="s">
        <v>140</v>
      </c>
      <c r="F5" s="236" t="s">
        <v>141</v>
      </c>
    </row>
    <row r="6" spans="1:6" s="229" customFormat="1" ht="28.5" customHeight="1">
      <c r="A6" s="238" t="s">
        <v>229</v>
      </c>
      <c r="B6" s="238" t="s">
        <v>230</v>
      </c>
      <c r="C6" s="239">
        <v>7000</v>
      </c>
      <c r="D6" s="239">
        <f>C6-B6</f>
        <v>5000</v>
      </c>
      <c r="E6" s="240">
        <f>D6</f>
        <v>5000</v>
      </c>
      <c r="F6" s="241" t="s">
        <v>231</v>
      </c>
    </row>
    <row r="7" spans="1:6" s="229" customFormat="1" ht="28.5" customHeight="1">
      <c r="A7" s="242" t="s">
        <v>232</v>
      </c>
      <c r="B7" s="242">
        <v>1000</v>
      </c>
      <c r="C7" s="243">
        <v>0</v>
      </c>
      <c r="D7" s="243">
        <f>C7-B7</f>
        <v>-1000</v>
      </c>
      <c r="E7" s="244">
        <f>D7</f>
        <v>-1000</v>
      </c>
      <c r="F7" s="241"/>
    </row>
    <row r="8" spans="1:6" s="229" customFormat="1" ht="28.5" customHeight="1">
      <c r="A8" s="245" t="s">
        <v>89</v>
      </c>
      <c r="B8" s="246">
        <f>B6+B7</f>
        <v>3000</v>
      </c>
      <c r="C8" s="247">
        <f>C6+C7</f>
        <v>7000</v>
      </c>
      <c r="D8" s="247">
        <f>D6+D7</f>
        <v>4000</v>
      </c>
      <c r="E8" s="248">
        <f>E6+E7</f>
        <v>4000</v>
      </c>
      <c r="F8" s="241"/>
    </row>
  </sheetData>
  <mergeCells count="3">
    <mergeCell ref="A2:F2"/>
    <mergeCell ref="A3:F3"/>
    <mergeCell ref="B4:E4"/>
  </mergeCells>
  <phoneticPr fontId="59" type="noConversion"/>
  <conditionalFormatting sqref="B8">
    <cfRule type="cellIs" dxfId="0" priority="1" stopIfTrue="1" operator="lessThan">
      <formula>0</formula>
    </cfRule>
  </conditionalFormatting>
  <printOptions horizontalCentered="1"/>
  <pageMargins left="0.9055118110236221" right="0.9055118110236221" top="0.98425196850393704" bottom="0.78740157480314965" header="0.51181102362204722" footer="0.51181102362204722"/>
  <pageSetup paperSize="8" orientation="landscape" r:id="rId1"/>
  <headerFooter>
    <oddFooter>&amp;C&amp;"Helvetica Neue,Regular"&amp;12&amp;P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V26"/>
  <sheetViews>
    <sheetView zoomScale="50" zoomScaleNormal="50" workbookViewId="0">
      <pane xSplit="1" ySplit="6" topLeftCell="B10" activePane="bottomRight" state="frozen"/>
      <selection pane="topRight"/>
      <selection pane="bottomLeft"/>
      <selection pane="bottomRight" activeCell="C16" sqref="C16"/>
    </sheetView>
  </sheetViews>
  <sheetFormatPr defaultColWidth="9" defaultRowHeight="14.25"/>
  <cols>
    <col min="1" max="1" width="45" style="1" customWidth="1"/>
    <col min="2" max="2" width="20.25" style="1" customWidth="1"/>
    <col min="3" max="3" width="18.375" style="1" customWidth="1"/>
    <col min="4" max="4" width="19" style="1" customWidth="1"/>
    <col min="5" max="5" width="15.875" style="1" customWidth="1"/>
    <col min="6" max="6" width="15.375" style="1" customWidth="1"/>
    <col min="7" max="7" width="18.5" style="1" customWidth="1"/>
    <col min="8" max="8" width="16.5" style="1" customWidth="1"/>
    <col min="9" max="9" width="15.625" style="182" customWidth="1"/>
    <col min="10" max="10" width="16.5" style="1" customWidth="1"/>
    <col min="11" max="11" width="13.75" style="1" customWidth="1"/>
    <col min="12" max="12" width="15.875" style="1" customWidth="1"/>
    <col min="13" max="13" width="16" style="1" customWidth="1"/>
    <col min="14" max="14" width="15.625" style="1" customWidth="1"/>
    <col min="15" max="16384" width="9" style="1"/>
  </cols>
  <sheetData>
    <row r="1" spans="1:22">
      <c r="A1" s="1" t="s">
        <v>233</v>
      </c>
    </row>
    <row r="2" spans="1:22" ht="46.5" customHeight="1">
      <c r="A2" s="426" t="s">
        <v>234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22" ht="21" customHeight="1">
      <c r="A3" s="183"/>
      <c r="B3" s="427">
        <v>43896</v>
      </c>
      <c r="C3" s="427"/>
      <c r="D3" s="427"/>
      <c r="E3" s="427"/>
      <c r="F3" s="427"/>
      <c r="G3" s="427"/>
      <c r="H3" s="427"/>
      <c r="I3" s="427"/>
      <c r="J3" s="427"/>
      <c r="K3" s="428" t="s">
        <v>235</v>
      </c>
      <c r="L3" s="428"/>
      <c r="M3" s="428"/>
      <c r="N3" s="428"/>
    </row>
    <row r="4" spans="1:22" ht="40.5" customHeight="1">
      <c r="A4" s="437" t="s">
        <v>118</v>
      </c>
      <c r="B4" s="438" t="s">
        <v>236</v>
      </c>
      <c r="C4" s="440" t="s">
        <v>237</v>
      </c>
      <c r="D4" s="429" t="s">
        <v>238</v>
      </c>
      <c r="E4" s="430"/>
      <c r="F4" s="431"/>
      <c r="G4" s="440" t="s">
        <v>237</v>
      </c>
      <c r="H4" s="440" t="s">
        <v>239</v>
      </c>
      <c r="I4" s="442" t="s">
        <v>240</v>
      </c>
      <c r="J4" s="429" t="s">
        <v>169</v>
      </c>
      <c r="K4" s="430"/>
      <c r="L4" s="430"/>
      <c r="M4" s="430"/>
      <c r="N4" s="431"/>
    </row>
    <row r="5" spans="1:22" ht="48.75" customHeight="1">
      <c r="A5" s="437"/>
      <c r="B5" s="439"/>
      <c r="C5" s="441"/>
      <c r="D5" s="187" t="s">
        <v>241</v>
      </c>
      <c r="E5" s="187" t="s">
        <v>242</v>
      </c>
      <c r="F5" s="184" t="s">
        <v>243</v>
      </c>
      <c r="G5" s="441"/>
      <c r="H5" s="441"/>
      <c r="I5" s="443"/>
      <c r="J5" s="187" t="s">
        <v>241</v>
      </c>
      <c r="K5" s="187" t="s">
        <v>244</v>
      </c>
      <c r="L5" s="186" t="s">
        <v>245</v>
      </c>
      <c r="M5" s="187" t="s">
        <v>246</v>
      </c>
      <c r="N5" s="187" t="s">
        <v>247</v>
      </c>
    </row>
    <row r="6" spans="1:22" ht="45.95" customHeight="1">
      <c r="A6" s="184"/>
      <c r="B6" s="188">
        <v>1</v>
      </c>
      <c r="C6" s="189">
        <v>2</v>
      </c>
      <c r="D6" s="190" t="s">
        <v>248</v>
      </c>
      <c r="E6" s="185">
        <v>7</v>
      </c>
      <c r="F6" s="190" t="s">
        <v>249</v>
      </c>
      <c r="G6" s="191" t="s">
        <v>250</v>
      </c>
      <c r="H6" s="189">
        <v>10</v>
      </c>
      <c r="I6" s="191" t="s">
        <v>251</v>
      </c>
      <c r="J6" s="190" t="s">
        <v>252</v>
      </c>
      <c r="K6" s="190" t="s">
        <v>253</v>
      </c>
      <c r="L6" s="217" t="s">
        <v>254</v>
      </c>
      <c r="M6" s="190" t="s">
        <v>255</v>
      </c>
      <c r="N6" s="191" t="s">
        <v>256</v>
      </c>
      <c r="O6" s="432" t="s">
        <v>257</v>
      </c>
      <c r="P6" s="433"/>
      <c r="Q6" s="433"/>
      <c r="R6" s="433"/>
      <c r="S6" s="433"/>
      <c r="T6" s="433"/>
      <c r="U6" s="433"/>
    </row>
    <row r="7" spans="1:22" ht="38.1" customHeight="1">
      <c r="A7" s="192" t="s">
        <v>258</v>
      </c>
      <c r="B7" s="193">
        <f>B8+B11</f>
        <v>26865</v>
      </c>
      <c r="C7" s="193">
        <f>C8+C11</f>
        <v>3645</v>
      </c>
      <c r="D7" s="193">
        <f t="shared" ref="D7:N7" si="0">D8+D11</f>
        <v>28477</v>
      </c>
      <c r="E7" s="193">
        <f t="shared" si="0"/>
        <v>28477</v>
      </c>
      <c r="F7" s="193">
        <f t="shared" si="0"/>
        <v>0</v>
      </c>
      <c r="G7" s="193">
        <f t="shared" si="0"/>
        <v>3851</v>
      </c>
      <c r="H7" s="193">
        <f t="shared" si="0"/>
        <v>2807</v>
      </c>
      <c r="I7" s="193">
        <f t="shared" si="0"/>
        <v>25670</v>
      </c>
      <c r="J7" s="193">
        <f t="shared" si="0"/>
        <v>1044</v>
      </c>
      <c r="K7" s="193">
        <f t="shared" si="0"/>
        <v>0</v>
      </c>
      <c r="L7" s="193">
        <f t="shared" si="0"/>
        <v>1027</v>
      </c>
      <c r="M7" s="193">
        <f t="shared" si="0"/>
        <v>0</v>
      </c>
      <c r="N7" s="193">
        <f t="shared" si="0"/>
        <v>17</v>
      </c>
      <c r="O7" s="432"/>
      <c r="P7" s="433"/>
      <c r="Q7" s="433"/>
      <c r="R7" s="433"/>
      <c r="S7" s="433"/>
      <c r="T7" s="433"/>
      <c r="U7" s="433"/>
    </row>
    <row r="8" spans="1:22" ht="42.95" customHeight="1">
      <c r="A8" s="194" t="s">
        <v>259</v>
      </c>
      <c r="B8" s="195">
        <f>SUM(B9:B10)</f>
        <v>24267</v>
      </c>
      <c r="C8" s="195">
        <f>SUM(C9:C10)</f>
        <v>3311</v>
      </c>
      <c r="D8" s="195">
        <f>D9+D10</f>
        <v>25723</v>
      </c>
      <c r="E8" s="195">
        <f>E9+E10</f>
        <v>25723</v>
      </c>
      <c r="F8" s="195">
        <f>F9+F10</f>
        <v>0</v>
      </c>
      <c r="G8" s="196">
        <f>G9+G10</f>
        <v>3477</v>
      </c>
      <c r="H8" s="196">
        <f>H9+H10</f>
        <v>2532</v>
      </c>
      <c r="I8" s="218">
        <f>D8-H8</f>
        <v>23191</v>
      </c>
      <c r="J8" s="219">
        <f>SUM(J9:J10)</f>
        <v>945</v>
      </c>
      <c r="K8" s="219">
        <f>K9+K10</f>
        <v>0</v>
      </c>
      <c r="L8" s="220">
        <f>L9+L10</f>
        <v>928</v>
      </c>
      <c r="M8" s="221">
        <f>M9+M10</f>
        <v>0</v>
      </c>
      <c r="N8" s="219">
        <f>N9+N10</f>
        <v>17</v>
      </c>
      <c r="O8" s="432" t="s">
        <v>260</v>
      </c>
      <c r="P8" s="433"/>
      <c r="Q8" s="433"/>
      <c r="R8" s="433"/>
      <c r="S8" s="433"/>
      <c r="T8" s="433"/>
      <c r="U8" s="433"/>
    </row>
    <row r="9" spans="1:22" ht="41.1" customHeight="1">
      <c r="A9" s="197" t="s">
        <v>261</v>
      </c>
      <c r="B9" s="198">
        <v>21662</v>
      </c>
      <c r="C9" s="198">
        <v>3000</v>
      </c>
      <c r="D9" s="199">
        <f>E9+F9</f>
        <v>24905</v>
      </c>
      <c r="E9" s="198">
        <f>25723-E10</f>
        <v>24905</v>
      </c>
      <c r="F9" s="198"/>
      <c r="G9" s="196">
        <f>H9+J9</f>
        <v>3405</v>
      </c>
      <c r="H9" s="200">
        <f>ROUND(D9*0.1,0)</f>
        <v>2491</v>
      </c>
      <c r="I9" s="222">
        <f>D9-H9</f>
        <v>22414</v>
      </c>
      <c r="J9" s="196">
        <f>K9+L9+M9+N9</f>
        <v>914</v>
      </c>
      <c r="K9" s="223"/>
      <c r="L9" s="224">
        <f>ROUND(I9*0.04,0)</f>
        <v>897</v>
      </c>
      <c r="M9" s="225">
        <f>ROUND(F9*0.9*0.1,0)</f>
        <v>0</v>
      </c>
      <c r="N9" s="198">
        <v>17</v>
      </c>
    </row>
    <row r="10" spans="1:22" ht="36.950000000000003" customHeight="1">
      <c r="A10" s="197" t="s">
        <v>262</v>
      </c>
      <c r="B10" s="198">
        <v>2605</v>
      </c>
      <c r="C10" s="198">
        <v>311</v>
      </c>
      <c r="D10" s="199">
        <f>E10+F10</f>
        <v>818</v>
      </c>
      <c r="E10" s="198">
        <v>818</v>
      </c>
      <c r="F10" s="198"/>
      <c r="G10" s="196">
        <f>H10+J10</f>
        <v>72</v>
      </c>
      <c r="H10" s="200">
        <f>ROUND(D10*0.05,0)</f>
        <v>41</v>
      </c>
      <c r="I10" s="222">
        <f>D10-H10</f>
        <v>777</v>
      </c>
      <c r="J10" s="218">
        <f>K10+L10+M10</f>
        <v>31</v>
      </c>
      <c r="K10" s="223"/>
      <c r="L10" s="224">
        <f>ROUND(I10*0.04,0)</f>
        <v>31</v>
      </c>
      <c r="M10" s="225">
        <f>ROUND(F10*0.95*0.1,0)</f>
        <v>0</v>
      </c>
      <c r="N10" s="198"/>
    </row>
    <row r="11" spans="1:22" ht="39.950000000000003" customHeight="1">
      <c r="A11" s="194" t="s">
        <v>263</v>
      </c>
      <c r="B11" s="195">
        <v>2598</v>
      </c>
      <c r="C11" s="195">
        <v>334</v>
      </c>
      <c r="D11" s="199">
        <f>E11+F11</f>
        <v>2754</v>
      </c>
      <c r="E11" s="195">
        <v>2754</v>
      </c>
      <c r="F11" s="198"/>
      <c r="G11" s="196">
        <f>H11+J11</f>
        <v>374</v>
      </c>
      <c r="H11" s="200">
        <f>ROUND(D11*0.1,0)</f>
        <v>275</v>
      </c>
      <c r="I11" s="222">
        <f>D11-H11</f>
        <v>2479</v>
      </c>
      <c r="J11" s="219">
        <f t="shared" ref="J11:J20" si="1">SUM(K11:N11)</f>
        <v>99</v>
      </c>
      <c r="K11" s="223"/>
      <c r="L11" s="224">
        <f>ROUND(I11*0.04,0)</f>
        <v>99</v>
      </c>
      <c r="M11" s="225">
        <f>ROUND(F11*0.9*0.1,0)</f>
        <v>0</v>
      </c>
      <c r="N11" s="198"/>
      <c r="O11" s="434" t="s">
        <v>264</v>
      </c>
      <c r="P11" s="434"/>
      <c r="Q11" s="434"/>
      <c r="R11" s="434"/>
      <c r="S11" s="434"/>
      <c r="T11" s="434"/>
      <c r="U11" s="434"/>
      <c r="V11" s="434"/>
    </row>
    <row r="12" spans="1:22" ht="39.950000000000003" customHeight="1">
      <c r="A12" s="201"/>
      <c r="B12" s="195"/>
      <c r="C12" s="193"/>
      <c r="D12" s="202"/>
      <c r="E12" s="203"/>
      <c r="F12" s="198"/>
      <c r="G12" s="196"/>
      <c r="H12" s="200"/>
      <c r="I12" s="222"/>
      <c r="J12" s="219">
        <f t="shared" si="1"/>
        <v>0</v>
      </c>
      <c r="K12" s="223"/>
      <c r="L12" s="224"/>
      <c r="M12" s="224"/>
      <c r="N12" s="198"/>
    </row>
    <row r="13" spans="1:22" ht="38.1" customHeight="1">
      <c r="A13" s="204" t="s">
        <v>265</v>
      </c>
      <c r="B13" s="198"/>
      <c r="C13" s="203"/>
      <c r="D13" s="193"/>
      <c r="E13" s="203"/>
      <c r="F13" s="198"/>
      <c r="G13" s="196">
        <f>H13+J13</f>
        <v>0</v>
      </c>
      <c r="H13" s="205"/>
      <c r="I13" s="222"/>
      <c r="J13" s="219">
        <f t="shared" si="1"/>
        <v>0</v>
      </c>
      <c r="K13" s="198"/>
      <c r="L13" s="226"/>
      <c r="M13" s="226"/>
      <c r="N13" s="198"/>
    </row>
    <row r="14" spans="1:22" ht="42" customHeight="1">
      <c r="A14" s="206" t="s">
        <v>266</v>
      </c>
      <c r="B14" s="195">
        <f>SUM(B15:B19)</f>
        <v>11205</v>
      </c>
      <c r="C14" s="195">
        <f>SUM(C15:C20)</f>
        <v>268</v>
      </c>
      <c r="D14" s="195">
        <f>SUM(D15:D19)</f>
        <v>11877</v>
      </c>
      <c r="E14" s="195">
        <f>SUM(E15:E19)</f>
        <v>11877</v>
      </c>
      <c r="F14" s="195">
        <f>SUM(F15:F19)</f>
        <v>0</v>
      </c>
      <c r="G14" s="196">
        <f>ROUND(SUM(G15:G20),0)</f>
        <v>268</v>
      </c>
      <c r="H14" s="196">
        <f>ROUND(SUM(H15:H20),0)</f>
        <v>268</v>
      </c>
      <c r="I14" s="196">
        <f>ROUND(SUM(I15:I20),0)</f>
        <v>0</v>
      </c>
      <c r="J14" s="219">
        <f t="shared" si="1"/>
        <v>0</v>
      </c>
      <c r="K14" s="219">
        <f>SUM(K15:K20)</f>
        <v>0</v>
      </c>
      <c r="L14" s="220">
        <f>SUM(L15:L20)</f>
        <v>0</v>
      </c>
      <c r="M14" s="220"/>
      <c r="N14" s="198"/>
    </row>
    <row r="15" spans="1:22" ht="36.950000000000003" customHeight="1">
      <c r="A15" s="207" t="s">
        <v>267</v>
      </c>
      <c r="B15" s="198"/>
      <c r="C15" s="198"/>
      <c r="D15" s="199">
        <f>E15</f>
        <v>0</v>
      </c>
      <c r="E15" s="198"/>
      <c r="F15" s="198"/>
      <c r="G15" s="195"/>
      <c r="H15" s="205"/>
      <c r="I15" s="222"/>
      <c r="J15" s="219">
        <f t="shared" si="1"/>
        <v>0</v>
      </c>
      <c r="K15" s="198"/>
      <c r="L15" s="226"/>
      <c r="M15" s="226"/>
      <c r="N15" s="198"/>
    </row>
    <row r="16" spans="1:22" ht="39.950000000000003" customHeight="1">
      <c r="A16" s="208" t="s">
        <v>268</v>
      </c>
      <c r="B16" s="198"/>
      <c r="C16" s="198"/>
      <c r="D16" s="199">
        <f>E16</f>
        <v>0</v>
      </c>
      <c r="E16" s="198"/>
      <c r="F16" s="198"/>
      <c r="G16" s="195"/>
      <c r="H16" s="205"/>
      <c r="I16" s="222"/>
      <c r="J16" s="219">
        <f t="shared" si="1"/>
        <v>0</v>
      </c>
      <c r="K16" s="198"/>
      <c r="L16" s="226"/>
      <c r="M16" s="226"/>
      <c r="N16" s="198"/>
    </row>
    <row r="17" spans="1:14" ht="39.950000000000003" customHeight="1">
      <c r="A17" s="209" t="s">
        <v>269</v>
      </c>
      <c r="B17" s="210"/>
      <c r="C17" s="198"/>
      <c r="D17" s="199">
        <f>E17</f>
        <v>0</v>
      </c>
      <c r="E17" s="198"/>
      <c r="F17" s="198"/>
      <c r="G17" s="195"/>
      <c r="H17" s="205"/>
      <c r="I17" s="222"/>
      <c r="J17" s="219">
        <f t="shared" si="1"/>
        <v>0</v>
      </c>
      <c r="K17" s="198"/>
      <c r="L17" s="226"/>
      <c r="M17" s="226"/>
      <c r="N17" s="198"/>
    </row>
    <row r="18" spans="1:14" ht="39.950000000000003" customHeight="1">
      <c r="A18" s="211" t="s">
        <v>270</v>
      </c>
      <c r="B18" s="212"/>
      <c r="C18" s="198"/>
      <c r="D18" s="199">
        <f>E18</f>
        <v>0</v>
      </c>
      <c r="E18" s="198"/>
      <c r="F18" s="198"/>
      <c r="G18" s="195"/>
      <c r="H18" s="205"/>
      <c r="I18" s="222"/>
      <c r="J18" s="219">
        <f t="shared" si="1"/>
        <v>0</v>
      </c>
      <c r="K18" s="198"/>
      <c r="L18" s="226"/>
      <c r="M18" s="226"/>
      <c r="N18" s="198"/>
    </row>
    <row r="19" spans="1:14" ht="45" customHeight="1">
      <c r="A19" s="213" t="s">
        <v>271</v>
      </c>
      <c r="B19" s="214">
        <v>11205</v>
      </c>
      <c r="C19" s="198"/>
      <c r="D19" s="199">
        <f>E19+F19</f>
        <v>11877</v>
      </c>
      <c r="E19" s="203">
        <v>11877</v>
      </c>
      <c r="F19" s="198"/>
      <c r="G19" s="196">
        <f>H19+J19</f>
        <v>0</v>
      </c>
      <c r="H19" s="205"/>
      <c r="I19" s="222"/>
      <c r="J19" s="219">
        <f t="shared" si="1"/>
        <v>0</v>
      </c>
      <c r="K19" s="198"/>
      <c r="L19" s="226"/>
      <c r="M19" s="226"/>
      <c r="N19" s="198"/>
    </row>
    <row r="20" spans="1:14" ht="41.1" customHeight="1">
      <c r="A20" s="213" t="s">
        <v>272</v>
      </c>
      <c r="B20" s="198"/>
      <c r="C20" s="203">
        <v>268</v>
      </c>
      <c r="D20" s="202"/>
      <c r="E20" s="203"/>
      <c r="F20" s="198"/>
      <c r="G20" s="196">
        <f>H20+J20</f>
        <v>268</v>
      </c>
      <c r="H20" s="205">
        <f>ROUND(612*0.03+(23428+743+29)*0.01+(743+29-612)*0.05,0)</f>
        <v>268</v>
      </c>
      <c r="I20" s="222"/>
      <c r="J20" s="219">
        <f t="shared" si="1"/>
        <v>0</v>
      </c>
      <c r="K20" s="198"/>
      <c r="L20" s="226"/>
      <c r="M20" s="226"/>
      <c r="N20" s="198"/>
    </row>
    <row r="21" spans="1:14" ht="38.1" customHeight="1">
      <c r="A21" s="215" t="s">
        <v>273</v>
      </c>
      <c r="B21" s="195">
        <f>SUM(B7+B14)</f>
        <v>38070</v>
      </c>
      <c r="C21" s="195">
        <f>SUM(C7+C14)</f>
        <v>3913</v>
      </c>
      <c r="D21" s="195">
        <f>SUM(D7+D14)</f>
        <v>40354</v>
      </c>
      <c r="E21" s="195">
        <f>SUM(E7+E14)</f>
        <v>40354</v>
      </c>
      <c r="F21" s="195">
        <f>SUM(F7+F14)</f>
        <v>0</v>
      </c>
      <c r="G21" s="196">
        <f>G7+G13+G14</f>
        <v>4119</v>
      </c>
      <c r="H21" s="195">
        <f t="shared" ref="H21:N21" si="2">SUM(H7+H14)</f>
        <v>3075</v>
      </c>
      <c r="I21" s="195">
        <f t="shared" si="2"/>
        <v>25670</v>
      </c>
      <c r="J21" s="195">
        <f t="shared" si="2"/>
        <v>1044</v>
      </c>
      <c r="K21" s="195">
        <f t="shared" si="2"/>
        <v>0</v>
      </c>
      <c r="L21" s="195">
        <f t="shared" si="2"/>
        <v>1027</v>
      </c>
      <c r="M21" s="195">
        <f t="shared" si="2"/>
        <v>0</v>
      </c>
      <c r="N21" s="195">
        <f t="shared" si="2"/>
        <v>17</v>
      </c>
    </row>
    <row r="22" spans="1:14" ht="42" customHeight="1">
      <c r="A22" s="216" t="s">
        <v>274</v>
      </c>
      <c r="B22" s="195">
        <f>B21</f>
        <v>38070</v>
      </c>
      <c r="C22" s="195">
        <f>C21</f>
        <v>3913</v>
      </c>
      <c r="D22" s="195">
        <f t="shared" ref="D22:N22" si="3">D21</f>
        <v>40354</v>
      </c>
      <c r="E22" s="195">
        <f t="shared" si="3"/>
        <v>40354</v>
      </c>
      <c r="F22" s="195">
        <f t="shared" si="3"/>
        <v>0</v>
      </c>
      <c r="G22" s="195">
        <f t="shared" si="3"/>
        <v>4119</v>
      </c>
      <c r="H22" s="195">
        <f t="shared" si="3"/>
        <v>3075</v>
      </c>
      <c r="I22" s="195">
        <f t="shared" si="3"/>
        <v>25670</v>
      </c>
      <c r="J22" s="195">
        <f t="shared" si="3"/>
        <v>1044</v>
      </c>
      <c r="K22" s="195">
        <f t="shared" si="3"/>
        <v>0</v>
      </c>
      <c r="L22" s="195">
        <f t="shared" si="3"/>
        <v>1027</v>
      </c>
      <c r="M22" s="195">
        <f t="shared" si="3"/>
        <v>0</v>
      </c>
      <c r="N22" s="195">
        <f t="shared" si="3"/>
        <v>17</v>
      </c>
    </row>
    <row r="23" spans="1:14" ht="26.25" customHeight="1">
      <c r="A23" s="435" t="s">
        <v>275</v>
      </c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</row>
    <row r="24" spans="1:14" ht="24.75" customHeight="1">
      <c r="A24" s="436" t="s">
        <v>276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</row>
    <row r="25" spans="1:14" ht="33.75" customHeight="1">
      <c r="A25" s="436" t="s">
        <v>277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</row>
    <row r="26" spans="1:14" ht="32.25" customHeight="1">
      <c r="A26" s="436" t="s">
        <v>278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</row>
  </sheetData>
  <mergeCells count="18">
    <mergeCell ref="O6:U7"/>
    <mergeCell ref="A26:N26"/>
    <mergeCell ref="A4:A5"/>
    <mergeCell ref="B4:B5"/>
    <mergeCell ref="C4:C5"/>
    <mergeCell ref="G4:G5"/>
    <mergeCell ref="H4:H5"/>
    <mergeCell ref="I4:I5"/>
    <mergeCell ref="O8:U8"/>
    <mergeCell ref="O11:V11"/>
    <mergeCell ref="A23:N23"/>
    <mergeCell ref="A24:N24"/>
    <mergeCell ref="A25:N25"/>
    <mergeCell ref="A2:N2"/>
    <mergeCell ref="B3:J3"/>
    <mergeCell ref="K3:N3"/>
    <mergeCell ref="D4:F4"/>
    <mergeCell ref="J4:N4"/>
  </mergeCells>
  <phoneticPr fontId="59" type="noConversion"/>
  <printOptions horizontalCentered="1"/>
  <pageMargins left="0.196527777777778" right="0.196527777777778" top="0.196527777777778" bottom="0.196527777777778" header="0.51111111111111096" footer="0.51111111111111096"/>
  <pageSetup paperSize="9" scale="5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zoomScaleNormal="100" workbookViewId="0">
      <selection activeCell="G20" sqref="G20"/>
    </sheetView>
  </sheetViews>
  <sheetFormatPr defaultColWidth="9" defaultRowHeight="14.25"/>
  <cols>
    <col min="1" max="1" width="35.75" customWidth="1"/>
    <col min="2" max="2" width="11.5" customWidth="1"/>
    <col min="3" max="3" width="11.75" customWidth="1"/>
    <col min="4" max="4" width="11.5" customWidth="1"/>
    <col min="5" max="5" width="7.875" customWidth="1"/>
    <col min="6" max="6" width="9.75" customWidth="1"/>
    <col min="7" max="7" width="17" customWidth="1"/>
    <col min="8" max="8" width="14.375" customWidth="1"/>
    <col min="9" max="9" width="14.625" customWidth="1"/>
  </cols>
  <sheetData>
    <row r="1" spans="1:9" ht="13.5" customHeight="1">
      <c r="A1" s="150" t="s">
        <v>279</v>
      </c>
    </row>
    <row r="2" spans="1:9" ht="18.75" customHeight="1">
      <c r="A2" s="444" t="s">
        <v>280</v>
      </c>
      <c r="B2" s="444"/>
      <c r="C2" s="444"/>
      <c r="D2" s="444"/>
      <c r="E2" s="444"/>
      <c r="F2" s="444"/>
      <c r="G2" s="444"/>
      <c r="H2" s="444"/>
      <c r="I2" s="444"/>
    </row>
    <row r="3" spans="1:9" ht="13.5" customHeight="1">
      <c r="A3" s="151"/>
      <c r="B3" s="445">
        <v>44141</v>
      </c>
      <c r="C3" s="445"/>
      <c r="D3" s="445"/>
      <c r="E3" s="445"/>
      <c r="F3" s="445"/>
      <c r="G3" s="445"/>
      <c r="H3" s="152"/>
      <c r="I3" s="181" t="s">
        <v>2</v>
      </c>
    </row>
    <row r="4" spans="1:9" ht="21" customHeight="1">
      <c r="A4" s="453" t="s">
        <v>281</v>
      </c>
      <c r="B4" s="446" t="s">
        <v>282</v>
      </c>
      <c r="C4" s="447"/>
      <c r="D4" s="448" t="s">
        <v>283</v>
      </c>
      <c r="E4" s="449"/>
      <c r="F4" s="450"/>
      <c r="G4" s="451" t="s">
        <v>284</v>
      </c>
      <c r="H4" s="451"/>
      <c r="I4" s="451"/>
    </row>
    <row r="5" spans="1:9" ht="20.25" customHeight="1">
      <c r="A5" s="453"/>
      <c r="B5" s="134" t="s">
        <v>285</v>
      </c>
      <c r="C5" s="134" t="s">
        <v>286</v>
      </c>
      <c r="D5" s="134" t="s">
        <v>285</v>
      </c>
      <c r="E5" s="134" t="s">
        <v>287</v>
      </c>
      <c r="F5" s="134" t="s">
        <v>286</v>
      </c>
      <c r="G5" s="153" t="s">
        <v>285</v>
      </c>
      <c r="H5" s="153" t="s">
        <v>286</v>
      </c>
      <c r="I5" s="153" t="s">
        <v>89</v>
      </c>
    </row>
    <row r="6" spans="1:9" ht="16.5" customHeight="1">
      <c r="A6" s="154" t="s">
        <v>288</v>
      </c>
      <c r="B6" s="89">
        <f t="shared" ref="B6:I6" si="0">SUM(B7:B9)</f>
        <v>1816</v>
      </c>
      <c r="C6" s="89">
        <f t="shared" si="0"/>
        <v>885</v>
      </c>
      <c r="D6" s="89"/>
      <c r="E6" s="89"/>
      <c r="F6" s="89"/>
      <c r="G6" s="89">
        <f t="shared" si="0"/>
        <v>4272.28</v>
      </c>
      <c r="H6" s="89">
        <f t="shared" si="0"/>
        <v>1934</v>
      </c>
      <c r="I6" s="89">
        <f t="shared" si="0"/>
        <v>6206.28</v>
      </c>
    </row>
    <row r="7" spans="1:9" ht="16.5" customHeight="1">
      <c r="A7" s="80" t="s">
        <v>289</v>
      </c>
      <c r="B7" s="155">
        <v>881</v>
      </c>
      <c r="C7" s="155">
        <v>657</v>
      </c>
      <c r="D7" s="155">
        <v>22800</v>
      </c>
      <c r="E7" s="155"/>
      <c r="F7" s="155">
        <v>19070</v>
      </c>
      <c r="G7" s="156">
        <v>2153</v>
      </c>
      <c r="H7" s="156">
        <v>1449</v>
      </c>
      <c r="I7" s="156">
        <f>G7+H7</f>
        <v>3602</v>
      </c>
    </row>
    <row r="8" spans="1:9" ht="16.5" customHeight="1">
      <c r="A8" s="80" t="s">
        <v>290</v>
      </c>
      <c r="B8" s="155">
        <v>1</v>
      </c>
      <c r="C8" s="155">
        <v>4</v>
      </c>
      <c r="D8" s="155">
        <v>22800</v>
      </c>
      <c r="E8" s="155"/>
      <c r="F8" s="155">
        <v>19070</v>
      </c>
      <c r="G8" s="156">
        <v>2.2799999999999998</v>
      </c>
      <c r="H8" s="156">
        <v>8</v>
      </c>
      <c r="I8" s="156">
        <f>G8+H8</f>
        <v>10.28</v>
      </c>
    </row>
    <row r="9" spans="1:9" ht="16.5" customHeight="1">
      <c r="A9" s="80" t="s">
        <v>291</v>
      </c>
      <c r="B9" s="155">
        <v>934</v>
      </c>
      <c r="C9" s="155">
        <v>224</v>
      </c>
      <c r="D9" s="155">
        <v>22800</v>
      </c>
      <c r="E9" s="155"/>
      <c r="F9" s="155">
        <v>19070</v>
      </c>
      <c r="G9" s="156">
        <v>2117</v>
      </c>
      <c r="H9" s="156">
        <v>477</v>
      </c>
      <c r="I9" s="156">
        <f>G9+H9</f>
        <v>2594</v>
      </c>
    </row>
    <row r="10" spans="1:9" ht="16.5" customHeight="1">
      <c r="A10" s="109" t="s">
        <v>292</v>
      </c>
      <c r="B10" s="157">
        <f t="shared" ref="B10:I10" si="1">SUM(B11+B13+B16)</f>
        <v>1760</v>
      </c>
      <c r="C10" s="157">
        <f t="shared" si="1"/>
        <v>984</v>
      </c>
      <c r="D10" s="157"/>
      <c r="E10" s="157"/>
      <c r="F10" s="157"/>
      <c r="G10" s="158">
        <f t="shared" si="1"/>
        <v>4719.45</v>
      </c>
      <c r="H10" s="158">
        <f t="shared" si="1"/>
        <v>2218</v>
      </c>
      <c r="I10" s="158">
        <f t="shared" si="1"/>
        <v>6937.45</v>
      </c>
    </row>
    <row r="11" spans="1:9" ht="16.5" customHeight="1">
      <c r="A11" s="159" t="s">
        <v>293</v>
      </c>
      <c r="B11" s="160">
        <f>SUM(B12)</f>
        <v>1616</v>
      </c>
      <c r="C11" s="160">
        <f t="shared" ref="C11:I11" si="2">SUM(C12:C12)</f>
        <v>901</v>
      </c>
      <c r="D11" s="160"/>
      <c r="E11" s="160"/>
      <c r="F11" s="160"/>
      <c r="G11" s="161">
        <f t="shared" si="2"/>
        <v>4421</v>
      </c>
      <c r="H11" s="161">
        <f t="shared" si="2"/>
        <v>2055</v>
      </c>
      <c r="I11" s="161">
        <f t="shared" si="2"/>
        <v>6476</v>
      </c>
    </row>
    <row r="12" spans="1:9" ht="16.5" customHeight="1">
      <c r="A12" s="162" t="s">
        <v>294</v>
      </c>
      <c r="B12" s="163">
        <v>1616</v>
      </c>
      <c r="C12" s="163">
        <v>901</v>
      </c>
      <c r="D12" s="163">
        <v>27378</v>
      </c>
      <c r="E12" s="163"/>
      <c r="F12" s="163">
        <v>22908</v>
      </c>
      <c r="G12" s="164">
        <v>4421</v>
      </c>
      <c r="H12" s="164">
        <v>2055</v>
      </c>
      <c r="I12" s="164">
        <f>G12+H12</f>
        <v>6476</v>
      </c>
    </row>
    <row r="13" spans="1:9" ht="16.5" customHeight="1">
      <c r="A13" s="165" t="s">
        <v>295</v>
      </c>
      <c r="B13" s="166">
        <f t="shared" ref="B13:I13" si="3">SUM(B14:B15)</f>
        <v>122</v>
      </c>
      <c r="C13" s="166">
        <f t="shared" si="3"/>
        <v>67</v>
      </c>
      <c r="D13" s="166"/>
      <c r="E13" s="166"/>
      <c r="F13" s="166"/>
      <c r="G13" s="166">
        <f t="shared" si="3"/>
        <v>238.45</v>
      </c>
      <c r="H13" s="166">
        <f t="shared" si="3"/>
        <v>128</v>
      </c>
      <c r="I13" s="166">
        <f t="shared" si="3"/>
        <v>366.45</v>
      </c>
    </row>
    <row r="14" spans="1:9" ht="16.5" customHeight="1">
      <c r="A14" s="167" t="s">
        <v>296</v>
      </c>
      <c r="B14" s="168">
        <v>93</v>
      </c>
      <c r="C14" s="168">
        <v>67</v>
      </c>
      <c r="D14" s="155">
        <v>22800</v>
      </c>
      <c r="E14" s="168"/>
      <c r="F14" s="155">
        <v>19070</v>
      </c>
      <c r="G14" s="164">
        <f>ROUND(B14*D14/10000,0)</f>
        <v>212</v>
      </c>
      <c r="H14" s="164">
        <v>128</v>
      </c>
      <c r="I14" s="164">
        <f>G14+H14</f>
        <v>340</v>
      </c>
    </row>
    <row r="15" spans="1:9" ht="16.5" customHeight="1">
      <c r="A15" s="167" t="s">
        <v>297</v>
      </c>
      <c r="B15" s="168">
        <v>29</v>
      </c>
      <c r="C15" s="168"/>
      <c r="D15" s="168">
        <f>D14*0.4</f>
        <v>9120</v>
      </c>
      <c r="E15" s="168"/>
      <c r="F15" s="155">
        <v>19070</v>
      </c>
      <c r="G15" s="164">
        <v>26.45</v>
      </c>
      <c r="H15" s="164"/>
      <c r="I15" s="164">
        <f>G15+H15</f>
        <v>26.45</v>
      </c>
    </row>
    <row r="16" spans="1:9" ht="16.5" customHeight="1">
      <c r="A16" s="165" t="s">
        <v>298</v>
      </c>
      <c r="B16" s="166">
        <f>B17</f>
        <v>22</v>
      </c>
      <c r="C16" s="166">
        <f>C17</f>
        <v>16</v>
      </c>
      <c r="D16" s="166"/>
      <c r="E16" s="166"/>
      <c r="F16" s="166"/>
      <c r="G16" s="169">
        <f>SUM(G17:G17)</f>
        <v>60</v>
      </c>
      <c r="H16" s="169">
        <f>SUM(H17:H17)</f>
        <v>35</v>
      </c>
      <c r="I16" s="169">
        <f>SUM(I17:I17)</f>
        <v>95</v>
      </c>
    </row>
    <row r="17" spans="1:9" ht="16.5" customHeight="1">
      <c r="A17" s="167" t="s">
        <v>299</v>
      </c>
      <c r="B17" s="168">
        <v>22</v>
      </c>
      <c r="C17" s="168">
        <v>16</v>
      </c>
      <c r="D17" s="163">
        <v>27378</v>
      </c>
      <c r="E17" s="168"/>
      <c r="F17" s="163">
        <v>22908</v>
      </c>
      <c r="G17" s="164">
        <v>60</v>
      </c>
      <c r="H17" s="164">
        <v>35</v>
      </c>
      <c r="I17" s="164">
        <f>G17+H17</f>
        <v>95</v>
      </c>
    </row>
    <row r="18" spans="1:9" ht="16.5" customHeight="1">
      <c r="A18" s="109" t="s">
        <v>300</v>
      </c>
      <c r="B18" s="170">
        <f>SUM(B19:B20)</f>
        <v>218</v>
      </c>
      <c r="C18" s="170">
        <f>SUM(C19:C20)</f>
        <v>70</v>
      </c>
      <c r="D18" s="170"/>
      <c r="E18" s="170"/>
      <c r="F18" s="170"/>
      <c r="G18" s="169">
        <f>G19+G20</f>
        <v>499</v>
      </c>
      <c r="H18" s="169">
        <f>H19+H20</f>
        <v>146</v>
      </c>
      <c r="I18" s="169">
        <f>I19+I20</f>
        <v>645</v>
      </c>
    </row>
    <row r="19" spans="1:9" ht="16.5" customHeight="1">
      <c r="A19" s="171" t="s">
        <v>301</v>
      </c>
      <c r="B19" s="172">
        <v>218</v>
      </c>
      <c r="C19" s="172">
        <v>70</v>
      </c>
      <c r="D19" s="163">
        <v>22800</v>
      </c>
      <c r="E19" s="173"/>
      <c r="F19" s="155">
        <v>19070</v>
      </c>
      <c r="G19" s="164">
        <v>499</v>
      </c>
      <c r="H19" s="164">
        <v>146</v>
      </c>
      <c r="I19" s="164">
        <f>G19+H19</f>
        <v>645</v>
      </c>
    </row>
    <row r="20" spans="1:9" ht="16.5" customHeight="1">
      <c r="A20" s="162" t="s">
        <v>302</v>
      </c>
      <c r="B20" s="163"/>
      <c r="C20" s="163"/>
      <c r="D20" s="163">
        <v>22800</v>
      </c>
      <c r="E20" s="163"/>
      <c r="F20" s="155">
        <v>19070</v>
      </c>
      <c r="G20" s="164"/>
      <c r="H20" s="164"/>
      <c r="I20" s="164">
        <f>G20+H20</f>
        <v>0</v>
      </c>
    </row>
    <row r="21" spans="1:9" ht="16.5" customHeight="1">
      <c r="A21" s="109" t="s">
        <v>303</v>
      </c>
      <c r="B21" s="174">
        <f>SUM(B22:B23)</f>
        <v>19</v>
      </c>
      <c r="C21" s="174">
        <f>SUM(C22:C22)</f>
        <v>10</v>
      </c>
      <c r="D21" s="174"/>
      <c r="E21" s="174"/>
      <c r="F21" s="174"/>
      <c r="G21" s="161">
        <f>G22</f>
        <v>32.549999999999997</v>
      </c>
      <c r="H21" s="161">
        <f>H22</f>
        <v>13</v>
      </c>
      <c r="I21" s="161">
        <f>I22</f>
        <v>45.55</v>
      </c>
    </row>
    <row r="22" spans="1:9" ht="16.5" customHeight="1">
      <c r="A22" s="171" t="s">
        <v>304</v>
      </c>
      <c r="B22" s="172">
        <f>48-29</f>
        <v>19</v>
      </c>
      <c r="C22" s="172">
        <v>10</v>
      </c>
      <c r="D22" s="172">
        <f>22800*0.75</f>
        <v>17100</v>
      </c>
      <c r="E22" s="172"/>
      <c r="F22" s="172">
        <f>D22*0.75</f>
        <v>12825</v>
      </c>
      <c r="G22" s="175">
        <f>59-G15</f>
        <v>32.549999999999997</v>
      </c>
      <c r="H22" s="175">
        <v>13</v>
      </c>
      <c r="I22" s="164">
        <f>G22+H22</f>
        <v>45.55</v>
      </c>
    </row>
    <row r="23" spans="1:9" ht="16.5" customHeight="1">
      <c r="A23" s="171" t="s">
        <v>305</v>
      </c>
      <c r="B23" s="172"/>
      <c r="C23" s="172"/>
      <c r="D23" s="172"/>
      <c r="E23" s="172"/>
      <c r="F23" s="172"/>
      <c r="G23" s="175"/>
      <c r="H23" s="175"/>
      <c r="I23" s="164"/>
    </row>
    <row r="24" spans="1:9" ht="16.5" customHeight="1">
      <c r="A24" s="12" t="s">
        <v>306</v>
      </c>
      <c r="B24" s="176">
        <f>B6+B10+B18+B21</f>
        <v>3813</v>
      </c>
      <c r="C24" s="176">
        <f t="shared" ref="C24:I24" si="4">C6+C10+C18+C21</f>
        <v>1949</v>
      </c>
      <c r="D24" s="176">
        <f t="shared" si="4"/>
        <v>0</v>
      </c>
      <c r="E24" s="176">
        <f t="shared" si="4"/>
        <v>0</v>
      </c>
      <c r="F24" s="176">
        <f t="shared" si="4"/>
        <v>0</v>
      </c>
      <c r="G24" s="176">
        <f t="shared" si="4"/>
        <v>9523.2800000000007</v>
      </c>
      <c r="H24" s="176">
        <f t="shared" si="4"/>
        <v>4311</v>
      </c>
      <c r="I24" s="176">
        <f t="shared" si="4"/>
        <v>13834.28</v>
      </c>
    </row>
    <row r="25" spans="1:9" ht="16.5" customHeight="1">
      <c r="A25" s="452" t="s">
        <v>307</v>
      </c>
      <c r="B25" s="452"/>
      <c r="C25" s="452"/>
      <c r="D25" s="452"/>
      <c r="E25" s="452"/>
      <c r="F25" s="452"/>
      <c r="G25" s="452"/>
      <c r="H25" s="452"/>
      <c r="I25" s="452"/>
    </row>
    <row r="26" spans="1:9" ht="16.5" customHeight="1"/>
    <row r="27" spans="1:9">
      <c r="A27" s="177"/>
      <c r="B27" s="178"/>
      <c r="C27" s="179"/>
      <c r="D27" s="179"/>
      <c r="E27" s="179"/>
      <c r="G27" s="180"/>
      <c r="H27" s="180"/>
    </row>
  </sheetData>
  <mergeCells count="7">
    <mergeCell ref="A25:I25"/>
    <mergeCell ref="A4:A5"/>
    <mergeCell ref="A2:I2"/>
    <mergeCell ref="B3:G3"/>
    <mergeCell ref="B4:C4"/>
    <mergeCell ref="D4:F4"/>
    <mergeCell ref="G4:I4"/>
  </mergeCells>
  <phoneticPr fontId="59" type="noConversion"/>
  <printOptions horizontalCentered="1"/>
  <pageMargins left="0.196527777777778" right="0.196527777777778" top="0.196527777777778" bottom="0.196527777777778" header="0.51111111111111096" footer="0.511111111111110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8</vt:i4>
      </vt:variant>
    </vt:vector>
  </HeadingPairs>
  <TitlesOfParts>
    <vt:vector size="23" baseType="lpstr">
      <vt:lpstr>收支预计表 (抵扣职业年金)</vt:lpstr>
      <vt:lpstr>收支预计表</vt:lpstr>
      <vt:lpstr>2021公共预算收入</vt:lpstr>
      <vt:lpstr>项目表 1</vt:lpstr>
      <vt:lpstr>项目表 2 </vt:lpstr>
      <vt:lpstr>一般债支出表</vt:lpstr>
      <vt:lpstr>专项债支出表</vt:lpstr>
      <vt:lpstr>2020年征收经费</vt:lpstr>
      <vt:lpstr>公务员津补贴</vt:lpstr>
      <vt:lpstr>2020年国债资金</vt:lpstr>
      <vt:lpstr>各项收入 (2021.预算)</vt:lpstr>
      <vt:lpstr>各项收入 (2020.7.15)</vt:lpstr>
      <vt:lpstr>人员经费明细表</vt:lpstr>
      <vt:lpstr>人员经费基表 (2021）)   (12.6)</vt:lpstr>
      <vt:lpstr>人员经费基表 (2021）)  </vt:lpstr>
      <vt:lpstr>'各项收入 (2020.7.15)'!Print_Area</vt:lpstr>
      <vt:lpstr>'各项收入 (2021.预算)'!Print_Area</vt:lpstr>
      <vt:lpstr>'人员经费基表 (2021）)  '!Print_Area</vt:lpstr>
      <vt:lpstr>'人员经费基表 (2021）)   (12.6)'!Print_Area</vt:lpstr>
      <vt:lpstr>人员经费明细表!Print_Area</vt:lpstr>
      <vt:lpstr>收支预计表!Print_Titles</vt:lpstr>
      <vt:lpstr>'项目表 1'!Print_Titles</vt:lpstr>
      <vt:lpstr>'项目表 2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Administrator</cp:lastModifiedBy>
  <cp:revision>1</cp:revision>
  <cp:lastPrinted>2021-11-10T10:26:48Z</cp:lastPrinted>
  <dcterms:created xsi:type="dcterms:W3CDTF">2010-12-22T01:38:00Z</dcterms:created>
  <dcterms:modified xsi:type="dcterms:W3CDTF">2021-11-10T10:27:08Z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true</vt:bool>
  </property>
  <property fmtid="{D5CDD505-2E9C-101B-9397-08002B2CF9AE}" pid="4" name="ICV">
    <vt:lpwstr>D0D76B7C377A45928306AD2E86B0AA9B</vt:lpwstr>
  </property>
</Properties>
</file>